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xWindow="240" yWindow="30" windowWidth="9720" windowHeight="6495" activeTab="0"/>
  </bookViews>
  <sheets>
    <sheet name="Spielereingabe" sheetId="1" r:id="rId1"/>
    <sheet name="SP128" sheetId="2" r:id="rId2"/>
    <sheet name="Baum128" sheetId="3" r:id="rId3"/>
    <sheet name="Paarung drucken" sheetId="4" r:id="rId4"/>
    <sheet name="Tabelle" sheetId="5" r:id="rId5"/>
  </sheets>
  <externalReferences>
    <externalReference r:id="rId8"/>
  </externalReferences>
  <definedNames>
    <definedName name="_xlnm.Print_Area" localSheetId="2">'Baum128'!$A$1:$AE$129</definedName>
    <definedName name="_xlnm.Print_Area" localSheetId="4">'Tabelle'!$C$1:$O$35</definedName>
    <definedName name="SP128">'SP128'!$C$3:$L$257</definedName>
    <definedName name="sp32">'[1]SP32'!$C$2:$L$65</definedName>
  </definedNames>
  <calcPr fullCalcOnLoad="1"/>
</workbook>
</file>

<file path=xl/sharedStrings.xml><?xml version="1.0" encoding="utf-8"?>
<sst xmlns="http://schemas.openxmlformats.org/spreadsheetml/2006/main" count="199" uniqueCount="66">
  <si>
    <t>Name, Vorname</t>
  </si>
  <si>
    <t>Verein</t>
  </si>
  <si>
    <t>Vereinsnr.</t>
  </si>
  <si>
    <t>lauf. Nr.</t>
  </si>
  <si>
    <t>PZ</t>
  </si>
  <si>
    <t>Verein_Nr</t>
  </si>
  <si>
    <t>Lfd_Nr</t>
  </si>
  <si>
    <t>Punkte</t>
  </si>
  <si>
    <t>GP</t>
  </si>
  <si>
    <t>VP</t>
  </si>
  <si>
    <t>Tln1</t>
  </si>
  <si>
    <t>Tln2</t>
  </si>
  <si>
    <t>Sp1</t>
  </si>
  <si>
    <t>Sp2</t>
  </si>
  <si>
    <t>Auf1</t>
  </si>
  <si>
    <t>Auf2</t>
  </si>
  <si>
    <t>HS1</t>
  </si>
  <si>
    <t>HS2</t>
  </si>
  <si>
    <t>Ges</t>
  </si>
  <si>
    <t>A1g</t>
  </si>
  <si>
    <t>A2g</t>
  </si>
  <si>
    <t>A1+</t>
  </si>
  <si>
    <t>A2+</t>
  </si>
  <si>
    <t>P1</t>
  </si>
  <si>
    <t>P2</t>
  </si>
  <si>
    <t>lfdNr</t>
  </si>
  <si>
    <t>VR1</t>
  </si>
  <si>
    <t>GR1</t>
  </si>
  <si>
    <t>VR2</t>
  </si>
  <si>
    <t>VR3</t>
  </si>
  <si>
    <t>VR4</t>
  </si>
  <si>
    <t>VR5</t>
  </si>
  <si>
    <t>VR6</t>
  </si>
  <si>
    <t>ER1</t>
  </si>
  <si>
    <t>ER2</t>
  </si>
  <si>
    <t>GR2</t>
  </si>
  <si>
    <t>GR3</t>
  </si>
  <si>
    <t>Tisch</t>
  </si>
  <si>
    <t>ausgeschieden:</t>
  </si>
  <si>
    <t>2 x gewinnen</t>
  </si>
  <si>
    <t>Turnierbezeichnung:</t>
  </si>
  <si>
    <t>Turnierort:</t>
  </si>
  <si>
    <t>Termin:</t>
  </si>
  <si>
    <t>Ausrichtender Verein:</t>
  </si>
  <si>
    <t>VR7</t>
  </si>
  <si>
    <t>VR8</t>
  </si>
  <si>
    <t>GR4</t>
  </si>
  <si>
    <t>Hr</t>
  </si>
  <si>
    <t>VR9</t>
  </si>
  <si>
    <t>GR5</t>
  </si>
  <si>
    <t>VR10</t>
  </si>
  <si>
    <t>VR11</t>
  </si>
  <si>
    <t>GR6</t>
  </si>
  <si>
    <t>Sieger aus 253 muß</t>
  </si>
  <si>
    <t>GSp</t>
  </si>
  <si>
    <t>VSp</t>
  </si>
  <si>
    <t>Quot</t>
  </si>
  <si>
    <t>Freilos</t>
  </si>
  <si>
    <t>Spiel-Nr:</t>
  </si>
  <si>
    <t>Tisch:</t>
  </si>
  <si>
    <t>:</t>
  </si>
  <si>
    <t>Spieler 1</t>
  </si>
  <si>
    <t>Spieler 2</t>
  </si>
  <si>
    <t>______</t>
  </si>
  <si>
    <t>Ergebnis bitte eintragen und bei der Turnierleitung abgeben</t>
  </si>
  <si>
    <t>Bsp: 8Ball Herren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</si>
</sst>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#,##0.00\ [$€-1]"/>
    <numFmt numFmtId="182" formatCode="[$-407]dddd\,\ d\.\ mmmm\ yyyy"/>
    <numFmt numFmtId="183" formatCode="#,##0\ [$€-1]"/>
    <numFmt numFmtId="184" formatCode="#,##0\ &quot;DM&quot;"/>
    <numFmt numFmtId="185" formatCode="_-* #,##0.00\ [$€-1]_-;\-* #,##0.00\ [$€-1]_-;_-* &quot;-&quot;??\ [$€-1]_-"/>
    <numFmt numFmtId="186" formatCode="#,##0\ [$€-1];\-#,##0\ [$€-1]"/>
    <numFmt numFmtId="187" formatCode="#,##0.0\ [$€-1]"/>
    <numFmt numFmtId="188" formatCode="0.0%"/>
  </numFmts>
  <fonts count="1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24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1" fontId="0" fillId="0" borderId="1" xfId="0" applyNumberForma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1" fontId="0" fillId="0" borderId="3" xfId="0" applyNumberFormat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1" fontId="0" fillId="0" borderId="2" xfId="0" applyNumberFormat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4" xfId="0" applyFont="1" applyFill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0" fillId="3" borderId="5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1" fillId="3" borderId="8" xfId="0" applyFont="1" applyFill="1" applyBorder="1" applyAlignment="1" applyProtection="1">
      <alignment/>
      <protection hidden="1"/>
    </xf>
    <xf numFmtId="0" fontId="1" fillId="3" borderId="7" xfId="0" applyFont="1" applyFill="1" applyBorder="1" applyAlignment="1" applyProtection="1">
      <alignment/>
      <protection hidden="1"/>
    </xf>
    <xf numFmtId="0" fontId="1" fillId="3" borderId="12" xfId="0" applyFont="1" applyFill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hidden="1"/>
    </xf>
    <xf numFmtId="2" fontId="0" fillId="2" borderId="7" xfId="0" applyNumberFormat="1" applyFill="1" applyBorder="1" applyAlignment="1" applyProtection="1">
      <alignment/>
      <protection hidden="1"/>
    </xf>
    <xf numFmtId="2" fontId="0" fillId="0" borderId="13" xfId="0" applyNumberFormat="1" applyBorder="1" applyAlignment="1" applyProtection="1">
      <alignment/>
      <protection hidden="1"/>
    </xf>
    <xf numFmtId="2" fontId="0" fillId="0" borderId="14" xfId="0" applyNumberForma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2" fontId="0" fillId="0" borderId="16" xfId="0" applyNumberFormat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1" fillId="3" borderId="17" xfId="0" applyFont="1" applyFill="1" applyBorder="1" applyAlignment="1" applyProtection="1">
      <alignment/>
      <protection hidden="1"/>
    </xf>
    <xf numFmtId="0" fontId="0" fillId="3" borderId="18" xfId="0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0" fillId="4" borderId="4" xfId="0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3" borderId="22" xfId="0" applyFont="1" applyFill="1" applyBorder="1" applyAlignment="1" applyProtection="1">
      <alignment horizontal="center"/>
      <protection hidden="1"/>
    </xf>
    <xf numFmtId="0" fontId="4" fillId="3" borderId="17" xfId="0" applyFont="1" applyFill="1" applyBorder="1" applyAlignment="1" applyProtection="1">
      <alignment/>
      <protection hidden="1"/>
    </xf>
    <xf numFmtId="0" fontId="4" fillId="3" borderId="23" xfId="0" applyFont="1" applyFill="1" applyBorder="1" applyAlignment="1" applyProtection="1">
      <alignment/>
      <protection hidden="1"/>
    </xf>
    <xf numFmtId="0" fontId="4" fillId="3" borderId="8" xfId="0" applyFont="1" applyFill="1" applyBorder="1" applyAlignment="1" applyProtection="1">
      <alignment horizontal="center"/>
      <protection hidden="1"/>
    </xf>
    <xf numFmtId="0" fontId="4" fillId="3" borderId="23" xfId="0" applyFont="1" applyFill="1" applyBorder="1" applyAlignment="1" applyProtection="1">
      <alignment horizontal="center"/>
      <protection hidden="1"/>
    </xf>
    <xf numFmtId="0" fontId="4" fillId="3" borderId="7" xfId="0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0" fontId="4" fillId="8" borderId="22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1" fontId="4" fillId="0" borderId="1" xfId="0" applyNumberFormat="1" applyFont="1" applyBorder="1" applyAlignment="1" applyProtection="1">
      <alignment/>
      <protection hidden="1"/>
    </xf>
    <xf numFmtId="0" fontId="4" fillId="9" borderId="20" xfId="0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8" borderId="4" xfId="0" applyFont="1" applyFill="1" applyBorder="1" applyAlignment="1" applyProtection="1">
      <alignment/>
      <protection hidden="1"/>
    </xf>
    <xf numFmtId="0" fontId="4" fillId="8" borderId="13" xfId="0" applyFont="1" applyFill="1" applyBorder="1" applyAlignment="1" applyProtection="1">
      <alignment/>
      <protection hidden="1"/>
    </xf>
    <xf numFmtId="0" fontId="4" fillId="8" borderId="4" xfId="0" applyFont="1" applyFill="1" applyBorder="1" applyAlignment="1" applyProtection="1">
      <alignment horizontal="center"/>
      <protection locked="0"/>
    </xf>
    <xf numFmtId="0" fontId="4" fillId="8" borderId="3" xfId="0" applyFont="1" applyFill="1" applyBorder="1" applyAlignment="1" applyProtection="1">
      <alignment horizontal="center"/>
      <protection locked="0"/>
    </xf>
    <xf numFmtId="0" fontId="4" fillId="9" borderId="3" xfId="0" applyFont="1" applyFill="1" applyBorder="1" applyAlignment="1" applyProtection="1">
      <alignment horizontal="center"/>
      <protection locked="0"/>
    </xf>
    <xf numFmtId="0" fontId="4" fillId="9" borderId="13" xfId="0" applyFont="1" applyFill="1" applyBorder="1" applyAlignment="1" applyProtection="1">
      <alignment horizontal="center"/>
      <protection locked="0"/>
    </xf>
    <xf numFmtId="0" fontId="4" fillId="10" borderId="24" xfId="0" applyFont="1" applyFill="1" applyBorder="1" applyAlignment="1" applyProtection="1">
      <alignment horizontal="center"/>
      <protection locked="0"/>
    </xf>
    <xf numFmtId="0" fontId="4" fillId="11" borderId="0" xfId="0" applyFont="1" applyFill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0" fontId="4" fillId="3" borderId="25" xfId="0" applyFont="1" applyFill="1" applyBorder="1" applyAlignment="1" applyProtection="1">
      <alignment horizontal="center"/>
      <protection hidden="1"/>
    </xf>
    <xf numFmtId="0" fontId="4" fillId="8" borderId="5" xfId="0" applyFont="1" applyFill="1" applyBorder="1" applyAlignment="1" applyProtection="1">
      <alignment/>
      <protection hidden="1"/>
    </xf>
    <xf numFmtId="0" fontId="4" fillId="8" borderId="14" xfId="0" applyFont="1" applyFill="1" applyBorder="1" applyAlignment="1" applyProtection="1">
      <alignment/>
      <protection hidden="1"/>
    </xf>
    <xf numFmtId="0" fontId="4" fillId="8" borderId="5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center"/>
      <protection locked="0"/>
    </xf>
    <xf numFmtId="0" fontId="4" fillId="9" borderId="1" xfId="0" applyFont="1" applyFill="1" applyBorder="1" applyAlignment="1" applyProtection="1">
      <alignment horizontal="center"/>
      <protection locked="0"/>
    </xf>
    <xf numFmtId="0" fontId="4" fillId="9" borderId="14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"/>
      <protection hidden="1"/>
    </xf>
    <xf numFmtId="0" fontId="4" fillId="8" borderId="15" xfId="0" applyFont="1" applyFill="1" applyBorder="1" applyAlignment="1" applyProtection="1">
      <alignment/>
      <protection hidden="1"/>
    </xf>
    <xf numFmtId="0" fontId="4" fillId="8" borderId="16" xfId="0" applyFont="1" applyFill="1" applyBorder="1" applyAlignment="1" applyProtection="1">
      <alignment/>
      <protection hidden="1"/>
    </xf>
    <xf numFmtId="0" fontId="4" fillId="8" borderId="15" xfId="0" applyFont="1" applyFill="1" applyBorder="1" applyAlignment="1" applyProtection="1">
      <alignment horizontal="center"/>
      <protection locked="0"/>
    </xf>
    <xf numFmtId="0" fontId="4" fillId="8" borderId="2" xfId="0" applyFont="1" applyFill="1" applyBorder="1" applyAlignment="1" applyProtection="1">
      <alignment horizontal="center"/>
      <protection locked="0"/>
    </xf>
    <xf numFmtId="0" fontId="4" fillId="9" borderId="2" xfId="0" applyFont="1" applyFill="1" applyBorder="1" applyAlignment="1" applyProtection="1">
      <alignment horizontal="center"/>
      <protection locked="0"/>
    </xf>
    <xf numFmtId="0" fontId="4" fillId="9" borderId="16" xfId="0" applyFont="1" applyFill="1" applyBorder="1" applyAlignment="1" applyProtection="1">
      <alignment horizontal="center"/>
      <protection locked="0"/>
    </xf>
    <xf numFmtId="0" fontId="4" fillId="6" borderId="20" xfId="0" applyFont="1" applyFill="1" applyBorder="1" applyAlignment="1" applyProtection="1">
      <alignment/>
      <protection hidden="1"/>
    </xf>
    <xf numFmtId="0" fontId="4" fillId="4" borderId="4" xfId="0" applyFont="1" applyFill="1" applyBorder="1" applyAlignment="1" applyProtection="1">
      <alignment/>
      <protection hidden="1"/>
    </xf>
    <xf numFmtId="0" fontId="4" fillId="4" borderId="13" xfId="0" applyFont="1" applyFill="1" applyBorder="1" applyAlignment="1" applyProtection="1">
      <alignment/>
      <protection hidden="1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hidden="1"/>
    </xf>
    <xf numFmtId="0" fontId="4" fillId="4" borderId="5" xfId="0" applyFont="1" applyFill="1" applyBorder="1" applyAlignment="1" applyProtection="1">
      <alignment/>
      <protection hidden="1"/>
    </xf>
    <xf numFmtId="0" fontId="4" fillId="4" borderId="14" xfId="0" applyFont="1" applyFill="1" applyBorder="1" applyAlignment="1" applyProtection="1">
      <alignment/>
      <protection hidden="1"/>
    </xf>
    <xf numFmtId="0" fontId="4" fillId="4" borderId="5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/>
      <protection hidden="1"/>
    </xf>
    <xf numFmtId="0" fontId="4" fillId="4" borderId="16" xfId="0" applyFont="1" applyFill="1" applyBorder="1" applyAlignment="1" applyProtection="1">
      <alignment/>
      <protection hidden="1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0" fontId="4" fillId="5" borderId="20" xfId="0" applyFont="1" applyFill="1" applyBorder="1" applyAlignment="1" applyProtection="1">
      <alignment/>
      <protection hidden="1"/>
    </xf>
    <xf numFmtId="0" fontId="4" fillId="5" borderId="27" xfId="0" applyFont="1" applyFill="1" applyBorder="1" applyAlignment="1" applyProtection="1">
      <alignment horizontal="left"/>
      <protection hidden="1"/>
    </xf>
    <xf numFmtId="0" fontId="4" fillId="5" borderId="28" xfId="0" applyFont="1" applyFill="1" applyBorder="1" applyAlignment="1" applyProtection="1">
      <alignment horizontal="left"/>
      <protection hidden="1"/>
    </xf>
    <xf numFmtId="0" fontId="4" fillId="5" borderId="27" xfId="0" applyFont="1" applyFill="1" applyBorder="1" applyAlignment="1" applyProtection="1">
      <alignment horizontal="center"/>
      <protection locked="0"/>
    </xf>
    <xf numFmtId="0" fontId="4" fillId="5" borderId="28" xfId="0" applyFont="1" applyFill="1" applyBorder="1" applyAlignment="1" applyProtection="1">
      <alignment horizontal="center"/>
      <protection locked="0"/>
    </xf>
    <xf numFmtId="0" fontId="4" fillId="4" borderId="28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left"/>
      <protection hidden="1"/>
    </xf>
    <xf numFmtId="0" fontId="4" fillId="5" borderId="1" xfId="0" applyFont="1" applyFill="1" applyBorder="1" applyAlignment="1" applyProtection="1">
      <alignment horizontal="left"/>
      <protection hidden="1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left"/>
      <protection hidden="1"/>
    </xf>
    <xf numFmtId="0" fontId="4" fillId="5" borderId="31" xfId="0" applyFont="1" applyFill="1" applyBorder="1" applyAlignment="1" applyProtection="1">
      <alignment horizontal="left"/>
      <protection hidden="1"/>
    </xf>
    <xf numFmtId="2" fontId="4" fillId="0" borderId="0" xfId="0" applyNumberFormat="1" applyFont="1" applyBorder="1" applyAlignment="1" applyProtection="1">
      <alignment/>
      <protection hidden="1"/>
    </xf>
    <xf numFmtId="0" fontId="4" fillId="4" borderId="18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/>
      <protection hidden="1"/>
    </xf>
    <xf numFmtId="0" fontId="4" fillId="2" borderId="7" xfId="0" applyFont="1" applyFill="1" applyBorder="1" applyAlignment="1" applyProtection="1">
      <alignment/>
      <protection hidden="1"/>
    </xf>
    <xf numFmtId="1" fontId="4" fillId="2" borderId="7" xfId="0" applyNumberFormat="1" applyFont="1" applyFill="1" applyBorder="1" applyAlignment="1" applyProtection="1">
      <alignment/>
      <protection hidden="1"/>
    </xf>
    <xf numFmtId="1" fontId="4" fillId="0" borderId="0" xfId="0" applyNumberFormat="1" applyFont="1" applyAlignment="1" applyProtection="1">
      <alignment/>
      <protection hidden="1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/>
      <protection hidden="1"/>
    </xf>
    <xf numFmtId="0" fontId="4" fillId="0" borderId="3" xfId="0" applyFont="1" applyBorder="1" applyAlignment="1" applyProtection="1">
      <alignment/>
      <protection hidden="1"/>
    </xf>
    <xf numFmtId="1" fontId="4" fillId="0" borderId="3" xfId="0" applyNumberFormat="1" applyFont="1" applyBorder="1" applyAlignment="1" applyProtection="1">
      <alignment/>
      <protection hidden="1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/>
      <protection hidden="1"/>
    </xf>
    <xf numFmtId="0" fontId="4" fillId="4" borderId="29" xfId="0" applyFont="1" applyFill="1" applyBorder="1" applyAlignment="1" applyProtection="1">
      <alignment/>
      <protection hidden="1"/>
    </xf>
    <xf numFmtId="0" fontId="4" fillId="4" borderId="33" xfId="0" applyFont="1" applyFill="1" applyBorder="1" applyAlignment="1" applyProtection="1">
      <alignment/>
      <protection hidden="1"/>
    </xf>
    <xf numFmtId="0" fontId="4" fillId="4" borderId="34" xfId="0" applyFont="1" applyFill="1" applyBorder="1" applyAlignment="1" applyProtection="1">
      <alignment/>
      <protection hidden="1"/>
    </xf>
    <xf numFmtId="0" fontId="4" fillId="5" borderId="4" xfId="0" applyFont="1" applyFill="1" applyBorder="1" applyAlignment="1" applyProtection="1">
      <alignment horizontal="left"/>
      <protection hidden="1"/>
    </xf>
    <xf numFmtId="0" fontId="4" fillId="5" borderId="13" xfId="0" applyFont="1" applyFill="1" applyBorder="1" applyAlignment="1" applyProtection="1">
      <alignment horizontal="left"/>
      <protection hidden="1"/>
    </xf>
    <xf numFmtId="0" fontId="4" fillId="5" borderId="18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5" borderId="14" xfId="0" applyFont="1" applyFill="1" applyBorder="1" applyAlignment="1" applyProtection="1">
      <alignment horizontal="left"/>
      <protection hidden="1"/>
    </xf>
    <xf numFmtId="0" fontId="4" fillId="5" borderId="19" xfId="0" applyFont="1" applyFill="1" applyBorder="1" applyAlignment="1" applyProtection="1">
      <alignment horizontal="center"/>
      <protection locked="0"/>
    </xf>
    <xf numFmtId="0" fontId="4" fillId="5" borderId="35" xfId="0" applyFont="1" applyFill="1" applyBorder="1" applyAlignment="1" applyProtection="1">
      <alignment horizontal="left"/>
      <protection hidden="1"/>
    </xf>
    <xf numFmtId="0" fontId="4" fillId="5" borderId="32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hidden="1"/>
    </xf>
    <xf numFmtId="0" fontId="4" fillId="4" borderId="4" xfId="0" applyNumberFormat="1" applyFont="1" applyFill="1" applyBorder="1" applyAlignment="1" applyProtection="1">
      <alignment/>
      <protection hidden="1"/>
    </xf>
    <xf numFmtId="0" fontId="4" fillId="4" borderId="36" xfId="0" applyFont="1" applyFill="1" applyBorder="1" applyAlignment="1" applyProtection="1">
      <alignment horizontal="center"/>
      <protection locked="0"/>
    </xf>
    <xf numFmtId="0" fontId="4" fillId="6" borderId="28" xfId="0" applyFont="1" applyFill="1" applyBorder="1" applyAlignment="1" applyProtection="1">
      <alignment horizontal="center"/>
      <protection locked="0"/>
    </xf>
    <xf numFmtId="0" fontId="4" fillId="6" borderId="29" xfId="0" applyFont="1" applyFill="1" applyBorder="1" applyAlignment="1" applyProtection="1">
      <alignment horizontal="center"/>
      <protection locked="0"/>
    </xf>
    <xf numFmtId="0" fontId="4" fillId="4" borderId="5" xfId="0" applyNumberFormat="1" applyFont="1" applyFill="1" applyBorder="1" applyAlignment="1" applyProtection="1">
      <alignment/>
      <protection hidden="1"/>
    </xf>
    <xf numFmtId="0" fontId="4" fillId="6" borderId="1" xfId="0" applyFont="1" applyFill="1" applyBorder="1" applyAlignment="1" applyProtection="1">
      <alignment horizontal="center"/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0" fontId="4" fillId="4" borderId="15" xfId="0" applyNumberFormat="1" applyFont="1" applyFill="1" applyBorder="1" applyAlignment="1" applyProtection="1">
      <alignment/>
      <protection hidden="1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16" xfId="0" applyFont="1" applyFill="1" applyBorder="1" applyAlignment="1" applyProtection="1">
      <alignment horizontal="center"/>
      <protection locked="0"/>
    </xf>
    <xf numFmtId="0" fontId="4" fillId="4" borderId="27" xfId="0" applyNumberFormat="1" applyFont="1" applyFill="1" applyBorder="1" applyAlignment="1" applyProtection="1">
      <alignment/>
      <protection hidden="1"/>
    </xf>
    <xf numFmtId="0" fontId="4" fillId="4" borderId="29" xfId="0" applyNumberFormat="1" applyFont="1" applyFill="1" applyBorder="1" applyAlignment="1" applyProtection="1">
      <alignment/>
      <protection hidden="1"/>
    </xf>
    <xf numFmtId="0" fontId="4" fillId="4" borderId="37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0" fontId="4" fillId="6" borderId="13" xfId="0" applyFont="1" applyFill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center"/>
      <protection locked="0"/>
    </xf>
    <xf numFmtId="0" fontId="4" fillId="4" borderId="39" xfId="0" applyFont="1" applyFill="1" applyBorder="1" applyAlignment="1" applyProtection="1">
      <alignment horizontal="center"/>
      <protection locked="0"/>
    </xf>
    <xf numFmtId="0" fontId="4" fillId="5" borderId="4" xfId="0" applyNumberFormat="1" applyFont="1" applyFill="1" applyBorder="1" applyAlignment="1" applyProtection="1">
      <alignment/>
      <protection hidden="1"/>
    </xf>
    <xf numFmtId="0" fontId="4" fillId="5" borderId="13" xfId="0" applyNumberFormat="1" applyFont="1" applyFill="1" applyBorder="1" applyAlignment="1" applyProtection="1">
      <alignment/>
      <protection hidden="1"/>
    </xf>
    <xf numFmtId="0" fontId="4" fillId="5" borderId="37" xfId="0" applyFont="1" applyFill="1" applyBorder="1" applyAlignment="1" applyProtection="1">
      <alignment horizontal="center"/>
      <protection locked="0"/>
    </xf>
    <xf numFmtId="0" fontId="4" fillId="5" borderId="13" xfId="0" applyFont="1" applyFill="1" applyBorder="1" applyAlignment="1" applyProtection="1">
      <alignment horizontal="center"/>
      <protection locked="0"/>
    </xf>
    <xf numFmtId="0" fontId="4" fillId="5" borderId="5" xfId="0" applyNumberFormat="1" applyFont="1" applyFill="1" applyBorder="1" applyAlignment="1" applyProtection="1">
      <alignment/>
      <protection hidden="1"/>
    </xf>
    <xf numFmtId="0" fontId="4" fillId="5" borderId="14" xfId="0" applyNumberFormat="1" applyFont="1" applyFill="1" applyBorder="1" applyAlignment="1" applyProtection="1">
      <alignment/>
      <protection hidden="1"/>
    </xf>
    <xf numFmtId="0" fontId="4" fillId="5" borderId="38" xfId="0" applyFont="1" applyFill="1" applyBorder="1" applyAlignment="1" applyProtection="1">
      <alignment horizontal="center"/>
      <protection locked="0"/>
    </xf>
    <xf numFmtId="0" fontId="4" fillId="5" borderId="14" xfId="0" applyFont="1" applyFill="1" applyBorder="1" applyAlignment="1" applyProtection="1">
      <alignment horizontal="center"/>
      <protection locked="0"/>
    </xf>
    <xf numFmtId="0" fontId="4" fillId="5" borderId="15" xfId="0" applyNumberFormat="1" applyFont="1" applyFill="1" applyBorder="1" applyAlignment="1" applyProtection="1">
      <alignment/>
      <protection hidden="1"/>
    </xf>
    <xf numFmtId="0" fontId="4" fillId="5" borderId="16" xfId="0" applyNumberFormat="1" applyFont="1" applyFill="1" applyBorder="1" applyAlignment="1" applyProtection="1">
      <alignment/>
      <protection hidden="1"/>
    </xf>
    <xf numFmtId="0" fontId="4" fillId="5" borderId="40" xfId="0" applyFont="1" applyFill="1" applyBorder="1" applyAlignment="1" applyProtection="1">
      <alignment horizontal="center"/>
      <protection locked="0"/>
    </xf>
    <xf numFmtId="0" fontId="4" fillId="5" borderId="41" xfId="0" applyFont="1" applyFill="1" applyBorder="1" applyAlignment="1" applyProtection="1">
      <alignment horizontal="center"/>
      <protection locked="0"/>
    </xf>
    <xf numFmtId="0" fontId="4" fillId="5" borderId="31" xfId="0" applyFont="1" applyFill="1" applyBorder="1" applyAlignment="1" applyProtection="1">
      <alignment horizontal="center"/>
      <protection locked="0"/>
    </xf>
    <xf numFmtId="0" fontId="4" fillId="5" borderId="35" xfId="0" applyFont="1" applyFill="1" applyBorder="1" applyAlignment="1" applyProtection="1">
      <alignment horizontal="center"/>
      <protection locked="0"/>
    </xf>
    <xf numFmtId="0" fontId="4" fillId="4" borderId="42" xfId="0" applyNumberFormat="1" applyFont="1" applyFill="1" applyBorder="1" applyAlignment="1" applyProtection="1">
      <alignment/>
      <protection hidden="1"/>
    </xf>
    <xf numFmtId="0" fontId="4" fillId="4" borderId="33" xfId="0" applyNumberFormat="1" applyFont="1" applyFill="1" applyBorder="1" applyAlignment="1" applyProtection="1">
      <alignment/>
      <protection hidden="1"/>
    </xf>
    <xf numFmtId="0" fontId="4" fillId="4" borderId="43" xfId="0" applyNumberFormat="1" applyFont="1" applyFill="1" applyBorder="1" applyAlignment="1" applyProtection="1">
      <alignment/>
      <protection hidden="1"/>
    </xf>
    <xf numFmtId="0" fontId="4" fillId="4" borderId="30" xfId="0" applyFont="1" applyFill="1" applyBorder="1" applyAlignment="1" applyProtection="1">
      <alignment horizontal="center"/>
      <protection locked="0"/>
    </xf>
    <xf numFmtId="0" fontId="4" fillId="4" borderId="31" xfId="0" applyFont="1" applyFill="1" applyBorder="1" applyAlignment="1" applyProtection="1">
      <alignment horizontal="center"/>
      <protection locked="0"/>
    </xf>
    <xf numFmtId="0" fontId="4" fillId="6" borderId="31" xfId="0" applyFont="1" applyFill="1" applyBorder="1" applyAlignment="1" applyProtection="1">
      <alignment horizontal="center"/>
      <protection locked="0"/>
    </xf>
    <xf numFmtId="0" fontId="4" fillId="6" borderId="35" xfId="0" applyFont="1" applyFill="1" applyBorder="1" applyAlignment="1" applyProtection="1">
      <alignment horizontal="center"/>
      <protection locked="0"/>
    </xf>
    <xf numFmtId="0" fontId="4" fillId="4" borderId="13" xfId="0" applyNumberFormat="1" applyFont="1" applyFill="1" applyBorder="1" applyAlignment="1" applyProtection="1">
      <alignment/>
      <protection hidden="1"/>
    </xf>
    <xf numFmtId="0" fontId="4" fillId="4" borderId="14" xfId="0" applyNumberFormat="1" applyFont="1" applyFill="1" applyBorder="1" applyAlignment="1" applyProtection="1">
      <alignment/>
      <protection hidden="1"/>
    </xf>
    <xf numFmtId="0" fontId="4" fillId="4" borderId="16" xfId="0" applyNumberFormat="1" applyFont="1" applyFill="1" applyBorder="1" applyAlignment="1" applyProtection="1">
      <alignment/>
      <protection hidden="1"/>
    </xf>
    <xf numFmtId="0" fontId="4" fillId="5" borderId="27" xfId="0" applyNumberFormat="1" applyFont="1" applyFill="1" applyBorder="1" applyAlignment="1" applyProtection="1">
      <alignment/>
      <protection hidden="1"/>
    </xf>
    <xf numFmtId="0" fontId="4" fillId="5" borderId="29" xfId="0" applyNumberFormat="1" applyFont="1" applyFill="1" applyBorder="1" applyAlignment="1" applyProtection="1">
      <alignment/>
      <protection hidden="1"/>
    </xf>
    <xf numFmtId="0" fontId="4" fillId="5" borderId="36" xfId="0" applyFont="1" applyFill="1" applyBorder="1" applyAlignment="1" applyProtection="1">
      <alignment horizontal="center"/>
      <protection locked="0"/>
    </xf>
    <xf numFmtId="0" fontId="4" fillId="5" borderId="42" xfId="0" applyFont="1" applyFill="1" applyBorder="1" applyAlignment="1" applyProtection="1">
      <alignment horizontal="center"/>
      <protection locked="0"/>
    </xf>
    <xf numFmtId="0" fontId="4" fillId="5" borderId="30" xfId="0" applyNumberFormat="1" applyFont="1" applyFill="1" applyBorder="1" applyAlignment="1" applyProtection="1">
      <alignment/>
      <protection hidden="1"/>
    </xf>
    <xf numFmtId="0" fontId="4" fillId="5" borderId="35" xfId="0" applyNumberFormat="1" applyFont="1" applyFill="1" applyBorder="1" applyAlignment="1" applyProtection="1">
      <alignment/>
      <protection hidden="1"/>
    </xf>
    <xf numFmtId="0" fontId="4" fillId="5" borderId="39" xfId="0" applyFont="1" applyFill="1" applyBorder="1" applyAlignment="1" applyProtection="1">
      <alignment horizontal="center"/>
      <protection locked="0"/>
    </xf>
    <xf numFmtId="0" fontId="4" fillId="6" borderId="37" xfId="0" applyFont="1" applyFill="1" applyBorder="1" applyAlignment="1" applyProtection="1">
      <alignment horizontal="center"/>
      <protection locked="0"/>
    </xf>
    <xf numFmtId="0" fontId="4" fillId="6" borderId="38" xfId="0" applyFont="1" applyFill="1" applyBorder="1" applyAlignment="1" applyProtection="1">
      <alignment horizontal="center"/>
      <protection locked="0"/>
    </xf>
    <xf numFmtId="0" fontId="4" fillId="6" borderId="39" xfId="0" applyFont="1" applyFill="1" applyBorder="1" applyAlignment="1" applyProtection="1">
      <alignment horizontal="center"/>
      <protection locked="0"/>
    </xf>
    <xf numFmtId="0" fontId="4" fillId="3" borderId="44" xfId="0" applyFont="1" applyFill="1" applyBorder="1" applyAlignment="1" applyProtection="1">
      <alignment horizontal="center"/>
      <protection hidden="1"/>
    </xf>
    <xf numFmtId="0" fontId="4" fillId="4" borderId="45" xfId="0" applyNumberFormat="1" applyFont="1" applyFill="1" applyBorder="1" applyAlignment="1" applyProtection="1">
      <alignment/>
      <protection hidden="1"/>
    </xf>
    <xf numFmtId="0" fontId="4" fillId="4" borderId="46" xfId="0" applyNumberFormat="1" applyFont="1" applyFill="1" applyBorder="1" applyAlignment="1" applyProtection="1">
      <alignment/>
      <protection hidden="1"/>
    </xf>
    <xf numFmtId="0" fontId="4" fillId="4" borderId="47" xfId="0" applyFont="1" applyFill="1" applyBorder="1" applyAlignment="1" applyProtection="1">
      <alignment horizontal="center"/>
      <protection locked="0"/>
    </xf>
    <xf numFmtId="0" fontId="4" fillId="4" borderId="48" xfId="0" applyFont="1" applyFill="1" applyBorder="1" applyAlignment="1" applyProtection="1">
      <alignment horizontal="center"/>
      <protection locked="0"/>
    </xf>
    <xf numFmtId="0" fontId="4" fillId="6" borderId="49" xfId="0" applyFont="1" applyFill="1" applyBorder="1" applyAlignment="1" applyProtection="1">
      <alignment horizontal="center"/>
      <protection locked="0"/>
    </xf>
    <xf numFmtId="0" fontId="4" fillId="6" borderId="48" xfId="0" applyFont="1" applyFill="1" applyBorder="1" applyAlignment="1" applyProtection="1">
      <alignment horizontal="center"/>
      <protection locked="0"/>
    </xf>
    <xf numFmtId="0" fontId="4" fillId="5" borderId="50" xfId="0" applyNumberFormat="1" applyFont="1" applyFill="1" applyBorder="1" applyAlignment="1" applyProtection="1">
      <alignment/>
      <protection hidden="1"/>
    </xf>
    <xf numFmtId="0" fontId="4" fillId="5" borderId="48" xfId="0" applyNumberFormat="1" applyFont="1" applyFill="1" applyBorder="1" applyAlignment="1" applyProtection="1">
      <alignment/>
      <protection hidden="1"/>
    </xf>
    <xf numFmtId="0" fontId="4" fillId="5" borderId="47" xfId="0" applyFont="1" applyFill="1" applyBorder="1" applyAlignment="1" applyProtection="1">
      <alignment horizontal="center"/>
      <protection locked="0"/>
    </xf>
    <xf numFmtId="0" fontId="4" fillId="5" borderId="48" xfId="0" applyFont="1" applyFill="1" applyBorder="1" applyAlignment="1" applyProtection="1">
      <alignment horizontal="center"/>
      <protection locked="0"/>
    </xf>
    <xf numFmtId="0" fontId="4" fillId="5" borderId="49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hidden="1"/>
    </xf>
    <xf numFmtId="0" fontId="4" fillId="4" borderId="50" xfId="0" applyNumberFormat="1" applyFont="1" applyFill="1" applyBorder="1" applyAlignment="1" applyProtection="1">
      <alignment/>
      <protection hidden="1"/>
    </xf>
    <xf numFmtId="0" fontId="4" fillId="4" borderId="48" xfId="0" applyNumberFormat="1" applyFont="1" applyFill="1" applyBorder="1" applyAlignment="1" applyProtection="1">
      <alignment/>
      <protection hidden="1"/>
    </xf>
    <xf numFmtId="0" fontId="4" fillId="9" borderId="20" xfId="0" applyFont="1" applyFill="1" applyBorder="1" applyAlignment="1" applyProtection="1">
      <alignment/>
      <protection hidden="1"/>
    </xf>
    <xf numFmtId="0" fontId="4" fillId="9" borderId="50" xfId="0" applyNumberFormat="1" applyFont="1" applyFill="1" applyBorder="1" applyAlignment="1" applyProtection="1">
      <alignment/>
      <protection hidden="1"/>
    </xf>
    <xf numFmtId="0" fontId="4" fillId="9" borderId="48" xfId="0" applyNumberFormat="1" applyFont="1" applyFill="1" applyBorder="1" applyAlignment="1" applyProtection="1">
      <alignment/>
      <protection hidden="1"/>
    </xf>
    <xf numFmtId="0" fontId="4" fillId="9" borderId="47" xfId="0" applyFont="1" applyFill="1" applyBorder="1" applyAlignment="1" applyProtection="1">
      <alignment horizontal="center"/>
      <protection locked="0"/>
    </xf>
    <xf numFmtId="0" fontId="4" fillId="9" borderId="48" xfId="0" applyFont="1" applyFill="1" applyBorder="1" applyAlignment="1" applyProtection="1">
      <alignment horizontal="center"/>
      <protection locked="0"/>
    </xf>
    <xf numFmtId="0" fontId="4" fillId="9" borderId="49" xfId="0" applyFont="1" applyFill="1" applyBorder="1" applyAlignment="1" applyProtection="1">
      <alignment horizontal="center"/>
      <protection locked="0"/>
    </xf>
    <xf numFmtId="0" fontId="4" fillId="9" borderId="26" xfId="0" applyFont="1" applyFill="1" applyBorder="1" applyAlignment="1" applyProtection="1">
      <alignment/>
      <protection hidden="1"/>
    </xf>
    <xf numFmtId="0" fontId="4" fillId="3" borderId="51" xfId="0" applyFont="1" applyFill="1" applyBorder="1" applyAlignment="1" applyProtection="1">
      <alignment horizontal="center"/>
      <protection hidden="1"/>
    </xf>
    <xf numFmtId="0" fontId="4" fillId="9" borderId="45" xfId="0" applyNumberFormat="1" applyFont="1" applyFill="1" applyBorder="1" applyAlignment="1" applyProtection="1">
      <alignment/>
      <protection hidden="1"/>
    </xf>
    <xf numFmtId="0" fontId="4" fillId="9" borderId="46" xfId="0" applyNumberFormat="1" applyFont="1" applyFill="1" applyBorder="1" applyAlignment="1" applyProtection="1">
      <alignment/>
      <protection hidden="1"/>
    </xf>
    <xf numFmtId="0" fontId="4" fillId="9" borderId="52" xfId="0" applyFont="1" applyFill="1" applyBorder="1" applyAlignment="1" applyProtection="1">
      <alignment horizontal="center"/>
      <protection locked="0"/>
    </xf>
    <xf numFmtId="0" fontId="4" fillId="9" borderId="46" xfId="0" applyFont="1" applyFill="1" applyBorder="1" applyAlignment="1" applyProtection="1">
      <alignment horizontal="center"/>
      <protection locked="0"/>
    </xf>
    <xf numFmtId="0" fontId="4" fillId="9" borderId="53" xfId="0" applyFont="1" applyFill="1" applyBorder="1" applyAlignment="1" applyProtection="1">
      <alignment horizontal="center"/>
      <protection locked="0"/>
    </xf>
    <xf numFmtId="0" fontId="4" fillId="10" borderId="21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1" fontId="4" fillId="0" borderId="2" xfId="0" applyNumberFormat="1" applyFont="1" applyBorder="1" applyAlignment="1" applyProtection="1">
      <alignment/>
      <protection hidden="1"/>
    </xf>
    <xf numFmtId="2" fontId="4" fillId="0" borderId="16" xfId="0" applyNumberFormat="1" applyFont="1" applyBorder="1" applyAlignment="1" applyProtection="1">
      <alignment/>
      <protection hidden="1"/>
    </xf>
    <xf numFmtId="1" fontId="4" fillId="2" borderId="23" xfId="0" applyNumberFormat="1" applyFont="1" applyFill="1" applyBorder="1" applyAlignment="1" applyProtection="1">
      <alignment/>
      <protection hidden="1"/>
    </xf>
    <xf numFmtId="2" fontId="4" fillId="0" borderId="37" xfId="0" applyNumberFormat="1" applyFont="1" applyBorder="1" applyAlignment="1" applyProtection="1">
      <alignment/>
      <protection hidden="1"/>
    </xf>
    <xf numFmtId="2" fontId="4" fillId="0" borderId="38" xfId="0" applyNumberFormat="1" applyFont="1" applyBorder="1" applyAlignment="1" applyProtection="1">
      <alignment/>
      <protection hidden="1"/>
    </xf>
    <xf numFmtId="0" fontId="4" fillId="6" borderId="6" xfId="0" applyFont="1" applyFill="1" applyBorder="1" applyAlignment="1" applyProtection="1">
      <alignment/>
      <protection hidden="1"/>
    </xf>
    <xf numFmtId="0" fontId="4" fillId="6" borderId="54" xfId="0" applyFont="1" applyFill="1" applyBorder="1" applyAlignment="1" applyProtection="1">
      <alignment/>
      <protection hidden="1"/>
    </xf>
    <xf numFmtId="0" fontId="4" fillId="6" borderId="55" xfId="0" applyFont="1" applyFill="1" applyBorder="1" applyAlignment="1" applyProtection="1">
      <alignment/>
      <protection hidden="1"/>
    </xf>
    <xf numFmtId="0" fontId="4" fillId="6" borderId="56" xfId="0" applyFont="1" applyFill="1" applyBorder="1" applyAlignment="1" applyProtection="1">
      <alignment/>
      <protection hidden="1"/>
    </xf>
    <xf numFmtId="2" fontId="4" fillId="6" borderId="55" xfId="0" applyNumberFormat="1" applyFont="1" applyFill="1" applyBorder="1" applyAlignment="1" applyProtection="1">
      <alignment/>
      <protection hidden="1"/>
    </xf>
    <xf numFmtId="2" fontId="4" fillId="6" borderId="56" xfId="0" applyNumberFormat="1" applyFont="1" applyFill="1" applyBorder="1" applyAlignment="1" applyProtection="1">
      <alignment/>
      <protection hidden="1"/>
    </xf>
    <xf numFmtId="0" fontId="4" fillId="6" borderId="26" xfId="0" applyFont="1" applyFill="1" applyBorder="1" applyAlignment="1" applyProtection="1">
      <alignment/>
      <protection hidden="1"/>
    </xf>
    <xf numFmtId="0" fontId="4" fillId="6" borderId="57" xfId="0" applyFont="1" applyFill="1" applyBorder="1" applyAlignment="1" applyProtection="1">
      <alignment/>
      <protection hidden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19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58" xfId="0" applyFont="1" applyBorder="1" applyAlignment="1" applyProtection="1">
      <alignment horizontal="left"/>
      <protection locked="0"/>
    </xf>
    <xf numFmtId="0" fontId="0" fillId="0" borderId="59" xfId="0" applyFont="1" applyBorder="1" applyAlignment="1" applyProtection="1">
      <alignment horizontal="left"/>
      <protection locked="0"/>
    </xf>
    <xf numFmtId="14" fontId="0" fillId="0" borderId="59" xfId="0" applyNumberFormat="1" applyFont="1" applyBorder="1" applyAlignment="1" applyProtection="1">
      <alignment horizontal="left"/>
      <protection locked="0"/>
    </xf>
    <xf numFmtId="0" fontId="0" fillId="0" borderId="60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 vertical="top"/>
    </xf>
    <xf numFmtId="0" fontId="9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38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FF00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523875</xdr:colOff>
      <xdr:row>3</xdr:row>
      <xdr:rowOff>85725</xdr:rowOff>
    </xdr:from>
    <xdr:to>
      <xdr:col>10</xdr:col>
      <xdr:colOff>847725</xdr:colOff>
      <xdr:row>4</xdr:row>
      <xdr:rowOff>171450</xdr:rowOff>
    </xdr:to>
    <xdr:sp macro="[0]!Makro3">
      <xdr:nvSpPr>
        <xdr:cNvPr id="1" name="Rectangle 1"/>
        <xdr:cNvSpPr>
          <a:spLocks/>
        </xdr:cNvSpPr>
      </xdr:nvSpPr>
      <xdr:spPr>
        <a:xfrm>
          <a:off x="5953125" y="666750"/>
          <a:ext cx="1133475" cy="27622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 Auslosung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149</xdr:row>
      <xdr:rowOff>38100</xdr:rowOff>
    </xdr:from>
    <xdr:to>
      <xdr:col>1</xdr:col>
      <xdr:colOff>333375</xdr:colOff>
      <xdr:row>152</xdr:row>
      <xdr:rowOff>76200</xdr:rowOff>
    </xdr:to>
    <xdr:sp macro="[0]!Makro1">
      <xdr:nvSpPr>
        <xdr:cNvPr id="1" name="Rectangle 4"/>
        <xdr:cNvSpPr>
          <a:spLocks/>
        </xdr:cNvSpPr>
      </xdr:nvSpPr>
      <xdr:spPr>
        <a:xfrm>
          <a:off x="123825" y="19907250"/>
          <a:ext cx="838200" cy="43815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  Tabelle aktualisieren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257175</xdr:colOff>
      <xdr:row>6</xdr:row>
      <xdr:rowOff>0</xdr:rowOff>
    </xdr:from>
    <xdr:to>
      <xdr:col>16</xdr:col>
      <xdr:colOff>628650</xdr:colOff>
      <xdr:row>12</xdr:row>
      <xdr:rowOff>104775</xdr:rowOff>
    </xdr:to>
    <xdr:sp macro="[0]!Makro1">
      <xdr:nvSpPr>
        <xdr:cNvPr id="1" name="Rectangle 1"/>
        <xdr:cNvSpPr>
          <a:spLocks/>
        </xdr:cNvSpPr>
      </xdr:nvSpPr>
      <xdr:spPr>
        <a:xfrm>
          <a:off x="8010525" y="990600"/>
          <a:ext cx="1133475" cy="107632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
    Tabelle
 aktualisieren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YS\Eigene%20Dateien\Turnierplan\BBV%20Turnierplan%20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ereingabe"/>
      <sheetName val="SP32"/>
      <sheetName val="Baum32"/>
      <sheetName val="Tabelle"/>
      <sheetName val="Preisgeld"/>
    </sheetNames>
    <sheetDataSet>
      <sheetData sheetId="1">
        <row r="2">
          <cell r="D2" t="str">
            <v>Tln1</v>
          </cell>
          <cell r="E2" t="str">
            <v>Tln2</v>
          </cell>
          <cell r="F2" t="str">
            <v>Sp1</v>
          </cell>
          <cell r="G2" t="str">
            <v>Sp2</v>
          </cell>
          <cell r="H2" t="str">
            <v>Auf1</v>
          </cell>
          <cell r="I2" t="str">
            <v>Auf2</v>
          </cell>
          <cell r="J2" t="str">
            <v>HS1</v>
          </cell>
          <cell r="K2" t="str">
            <v>HS2</v>
          </cell>
          <cell r="L2" t="str">
            <v>Tisch</v>
          </cell>
        </row>
        <row r="3">
          <cell r="C3">
            <v>1</v>
          </cell>
          <cell r="D3" t="str">
            <v>Spieler 1</v>
          </cell>
          <cell r="E3" t="str">
            <v>Spieler 17</v>
          </cell>
        </row>
        <row r="4">
          <cell r="C4">
            <v>2</v>
          </cell>
          <cell r="D4" t="str">
            <v>Spieler 9</v>
          </cell>
          <cell r="E4" t="str">
            <v>Spieler 25</v>
          </cell>
        </row>
        <row r="5">
          <cell r="C5">
            <v>3</v>
          </cell>
          <cell r="D5" t="str">
            <v>Spieler 5</v>
          </cell>
          <cell r="E5" t="str">
            <v>Spieler 21</v>
          </cell>
        </row>
        <row r="6">
          <cell r="C6">
            <v>4</v>
          </cell>
          <cell r="D6" t="str">
            <v>Spieler 13</v>
          </cell>
          <cell r="E6" t="str">
            <v>Spieler 29</v>
          </cell>
        </row>
        <row r="7">
          <cell r="C7">
            <v>5</v>
          </cell>
          <cell r="D7" t="str">
            <v>Spieler 3</v>
          </cell>
          <cell r="E7" t="str">
            <v>Spieler 19</v>
          </cell>
        </row>
        <row r="8">
          <cell r="C8">
            <v>6</v>
          </cell>
          <cell r="D8" t="str">
            <v>Spieler 11</v>
          </cell>
          <cell r="E8" t="str">
            <v>Spieler 27</v>
          </cell>
        </row>
        <row r="9">
          <cell r="C9">
            <v>7</v>
          </cell>
          <cell r="D9" t="str">
            <v>Spieler 7</v>
          </cell>
          <cell r="E9" t="str">
            <v>Spieler 23</v>
          </cell>
        </row>
        <row r="10">
          <cell r="C10">
            <v>8</v>
          </cell>
          <cell r="D10" t="str">
            <v>Spieler 15</v>
          </cell>
          <cell r="E10" t="str">
            <v>Spieler 31</v>
          </cell>
        </row>
        <row r="11">
          <cell r="C11">
            <v>9</v>
          </cell>
          <cell r="D11" t="str">
            <v>Spieler 2</v>
          </cell>
          <cell r="E11" t="str">
            <v>Spieler 18</v>
          </cell>
        </row>
        <row r="12">
          <cell r="C12">
            <v>10</v>
          </cell>
          <cell r="D12" t="str">
            <v>Spieler 10</v>
          </cell>
          <cell r="E12" t="str">
            <v>Spieler 26</v>
          </cell>
        </row>
        <row r="13">
          <cell r="C13">
            <v>11</v>
          </cell>
          <cell r="D13" t="str">
            <v>Spieler 6</v>
          </cell>
          <cell r="E13" t="str">
            <v>Spieler 22</v>
          </cell>
        </row>
        <row r="14">
          <cell r="C14">
            <v>12</v>
          </cell>
          <cell r="D14" t="str">
            <v>Spieler 14</v>
          </cell>
          <cell r="E14" t="str">
            <v>Spieler 30</v>
          </cell>
        </row>
        <row r="15">
          <cell r="C15">
            <v>13</v>
          </cell>
          <cell r="D15" t="str">
            <v>Spieler 4</v>
          </cell>
          <cell r="E15" t="str">
            <v>Spieler 20</v>
          </cell>
        </row>
        <row r="16">
          <cell r="C16">
            <v>14</v>
          </cell>
          <cell r="D16" t="str">
            <v>Spieler 12</v>
          </cell>
          <cell r="E16" t="str">
            <v>Spieler 28</v>
          </cell>
        </row>
        <row r="17">
          <cell r="C17">
            <v>15</v>
          </cell>
          <cell r="D17" t="str">
            <v>Spieler 8</v>
          </cell>
          <cell r="E17" t="str">
            <v>Spieler 24</v>
          </cell>
        </row>
        <row r="18">
          <cell r="C18">
            <v>16</v>
          </cell>
          <cell r="D18" t="str">
            <v>Spieler 16</v>
          </cell>
          <cell r="E18" t="str">
            <v>Spieler 32</v>
          </cell>
        </row>
        <row r="19">
          <cell r="C19">
            <v>17</v>
          </cell>
          <cell r="D19" t="str">
            <v>Verlierer 1</v>
          </cell>
          <cell r="E19" t="str">
            <v>Verlierer 2</v>
          </cell>
        </row>
        <row r="20">
          <cell r="C20">
            <v>18</v>
          </cell>
          <cell r="D20" t="str">
            <v>Verlierer 3</v>
          </cell>
          <cell r="E20" t="str">
            <v>Verlierer 4</v>
          </cell>
        </row>
        <row r="21">
          <cell r="C21">
            <v>19</v>
          </cell>
          <cell r="D21" t="str">
            <v>Verlierer 5</v>
          </cell>
          <cell r="E21" t="str">
            <v>Verlierer 6</v>
          </cell>
        </row>
        <row r="22">
          <cell r="C22">
            <v>20</v>
          </cell>
          <cell r="D22" t="str">
            <v>Verlierer 7</v>
          </cell>
          <cell r="E22" t="str">
            <v>Verlierer 8</v>
          </cell>
        </row>
        <row r="23">
          <cell r="C23">
            <v>21</v>
          </cell>
          <cell r="D23" t="str">
            <v>Verlierer 9</v>
          </cell>
          <cell r="E23" t="str">
            <v>Verlierer 10</v>
          </cell>
        </row>
        <row r="24">
          <cell r="C24">
            <v>22</v>
          </cell>
          <cell r="D24" t="str">
            <v>Verlierer 11</v>
          </cell>
          <cell r="E24" t="str">
            <v>Verlierer 12</v>
          </cell>
        </row>
        <row r="25">
          <cell r="C25">
            <v>23</v>
          </cell>
          <cell r="D25" t="str">
            <v>Verlierer 13</v>
          </cell>
          <cell r="E25" t="str">
            <v>Verlierer 14</v>
          </cell>
        </row>
        <row r="26">
          <cell r="C26">
            <v>24</v>
          </cell>
          <cell r="D26" t="str">
            <v>Verlierer 15</v>
          </cell>
          <cell r="E26" t="str">
            <v>Verlierer 16</v>
          </cell>
        </row>
        <row r="27">
          <cell r="C27">
            <v>25</v>
          </cell>
          <cell r="D27" t="str">
            <v>Sieger 1</v>
          </cell>
          <cell r="E27" t="str">
            <v>Sieger 2</v>
          </cell>
        </row>
        <row r="28">
          <cell r="C28">
            <v>26</v>
          </cell>
          <cell r="D28" t="str">
            <v>Sieger 3</v>
          </cell>
          <cell r="E28" t="str">
            <v>Sieger 4</v>
          </cell>
        </row>
        <row r="29">
          <cell r="C29">
            <v>27</v>
          </cell>
          <cell r="D29" t="str">
            <v>Sieger 5</v>
          </cell>
          <cell r="E29" t="str">
            <v>Sieger 6</v>
          </cell>
        </row>
        <row r="30">
          <cell r="C30">
            <v>28</v>
          </cell>
          <cell r="D30" t="str">
            <v>Sieger 7</v>
          </cell>
          <cell r="E30" t="str">
            <v>Sieger 8</v>
          </cell>
        </row>
        <row r="31">
          <cell r="C31">
            <v>29</v>
          </cell>
          <cell r="D31" t="str">
            <v>Sieger 9</v>
          </cell>
          <cell r="E31" t="str">
            <v>Sieger 10</v>
          </cell>
        </row>
        <row r="32">
          <cell r="C32">
            <v>30</v>
          </cell>
          <cell r="D32" t="str">
            <v>Sieger 11</v>
          </cell>
          <cell r="E32" t="str">
            <v>Sieger 12</v>
          </cell>
        </row>
        <row r="33">
          <cell r="C33">
            <v>31</v>
          </cell>
          <cell r="D33" t="str">
            <v>Sieger 13</v>
          </cell>
          <cell r="E33" t="str">
            <v>Sieger 14</v>
          </cell>
        </row>
        <row r="34">
          <cell r="C34">
            <v>32</v>
          </cell>
          <cell r="D34" t="str">
            <v>Sieger 15</v>
          </cell>
          <cell r="E34" t="str">
            <v>Sieger 16</v>
          </cell>
        </row>
        <row r="35">
          <cell r="C35">
            <v>33</v>
          </cell>
          <cell r="D35" t="str">
            <v>Sieger 17</v>
          </cell>
          <cell r="E35" t="str">
            <v>Verlierer 27</v>
          </cell>
        </row>
        <row r="36">
          <cell r="C36">
            <v>34</v>
          </cell>
          <cell r="D36" t="str">
            <v>Sieger 18</v>
          </cell>
          <cell r="E36" t="str">
            <v>Verlierer 28</v>
          </cell>
        </row>
        <row r="37">
          <cell r="C37">
            <v>35</v>
          </cell>
          <cell r="D37" t="str">
            <v>Sieger 19</v>
          </cell>
          <cell r="E37" t="str">
            <v>Verlierer 29</v>
          </cell>
        </row>
        <row r="38">
          <cell r="C38">
            <v>36</v>
          </cell>
          <cell r="D38" t="str">
            <v>Sieger 20</v>
          </cell>
          <cell r="E38" t="str">
            <v>Verlierer 30</v>
          </cell>
        </row>
        <row r="39">
          <cell r="C39">
            <v>37</v>
          </cell>
          <cell r="D39" t="str">
            <v>Sieger 21</v>
          </cell>
          <cell r="E39" t="str">
            <v>Verlierer 31</v>
          </cell>
        </row>
        <row r="40">
          <cell r="C40">
            <v>38</v>
          </cell>
          <cell r="D40" t="str">
            <v>Sieger 22</v>
          </cell>
          <cell r="E40" t="str">
            <v>Verlierer 32</v>
          </cell>
        </row>
        <row r="41">
          <cell r="C41">
            <v>39</v>
          </cell>
          <cell r="D41" t="str">
            <v>Sieger 23</v>
          </cell>
          <cell r="E41" t="str">
            <v>Verlierer 25</v>
          </cell>
        </row>
        <row r="42">
          <cell r="C42">
            <v>40</v>
          </cell>
          <cell r="D42" t="str">
            <v>Sieger 24</v>
          </cell>
          <cell r="E42" t="str">
            <v>Verlierer 26</v>
          </cell>
        </row>
        <row r="43">
          <cell r="C43">
            <v>41</v>
          </cell>
          <cell r="D43" t="str">
            <v>Sieger 33</v>
          </cell>
          <cell r="E43" t="str">
            <v>Sieger 34</v>
          </cell>
        </row>
        <row r="44">
          <cell r="C44">
            <v>42</v>
          </cell>
          <cell r="D44" t="str">
            <v>Sieger 35</v>
          </cell>
          <cell r="E44" t="str">
            <v>Sieger 36</v>
          </cell>
        </row>
        <row r="45">
          <cell r="C45">
            <v>43</v>
          </cell>
          <cell r="D45" t="str">
            <v>Sieger 37</v>
          </cell>
          <cell r="E45" t="str">
            <v>Sieger 38</v>
          </cell>
        </row>
        <row r="46">
          <cell r="C46">
            <v>44</v>
          </cell>
          <cell r="D46" t="str">
            <v>Sieger 39</v>
          </cell>
          <cell r="E46" t="str">
            <v>Sieger 40</v>
          </cell>
        </row>
        <row r="47">
          <cell r="C47">
            <v>45</v>
          </cell>
          <cell r="D47" t="str">
            <v>Sieger 25</v>
          </cell>
          <cell r="E47" t="str">
            <v>Sieger 26</v>
          </cell>
        </row>
        <row r="48">
          <cell r="C48">
            <v>46</v>
          </cell>
          <cell r="D48" t="str">
            <v>Sieger 27</v>
          </cell>
          <cell r="E48" t="str">
            <v>Sieger 28</v>
          </cell>
        </row>
        <row r="49">
          <cell r="C49">
            <v>47</v>
          </cell>
          <cell r="D49" t="str">
            <v>Sieger 29</v>
          </cell>
          <cell r="E49" t="str">
            <v>Sieger 30</v>
          </cell>
        </row>
        <row r="50">
          <cell r="C50">
            <v>48</v>
          </cell>
          <cell r="D50" t="str">
            <v>Sieger 31</v>
          </cell>
          <cell r="E50" t="str">
            <v>Sieger 32</v>
          </cell>
        </row>
        <row r="51">
          <cell r="C51">
            <v>49</v>
          </cell>
          <cell r="D51" t="str">
            <v>Sieger 41</v>
          </cell>
          <cell r="E51" t="str">
            <v>Verlierer 48</v>
          </cell>
        </row>
        <row r="52">
          <cell r="C52">
            <v>50</v>
          </cell>
          <cell r="D52" t="str">
            <v>Sieger 42</v>
          </cell>
          <cell r="E52" t="str">
            <v>Verlierer 45</v>
          </cell>
        </row>
        <row r="53">
          <cell r="C53">
            <v>51</v>
          </cell>
          <cell r="D53" t="str">
            <v>Sieger 43</v>
          </cell>
          <cell r="E53" t="str">
            <v>Verlierer 46</v>
          </cell>
        </row>
        <row r="54">
          <cell r="C54">
            <v>52</v>
          </cell>
          <cell r="D54" t="str">
            <v>Sieger 44</v>
          </cell>
          <cell r="E54" t="str">
            <v>Verlierer 47</v>
          </cell>
        </row>
        <row r="55">
          <cell r="C55">
            <v>53</v>
          </cell>
          <cell r="D55" t="str">
            <v>Sieger 49</v>
          </cell>
          <cell r="E55" t="str">
            <v>Sieger 50</v>
          </cell>
        </row>
        <row r="56">
          <cell r="C56">
            <v>54</v>
          </cell>
          <cell r="D56" t="str">
            <v>Sieger 51</v>
          </cell>
          <cell r="E56" t="str">
            <v>Sieger 52</v>
          </cell>
        </row>
        <row r="57">
          <cell r="C57">
            <v>55</v>
          </cell>
          <cell r="D57" t="str">
            <v>Sieger 45</v>
          </cell>
          <cell r="E57" t="str">
            <v>Sieger 46</v>
          </cell>
        </row>
        <row r="58">
          <cell r="C58">
            <v>56</v>
          </cell>
          <cell r="D58" t="str">
            <v>Sieger 47</v>
          </cell>
          <cell r="E58" t="str">
            <v>Sieger 48</v>
          </cell>
        </row>
        <row r="59">
          <cell r="C59">
            <v>57</v>
          </cell>
          <cell r="D59" t="str">
            <v>Sieger 53</v>
          </cell>
          <cell r="E59" t="str">
            <v>Verlierer 55</v>
          </cell>
        </row>
        <row r="60">
          <cell r="C60">
            <v>58</v>
          </cell>
          <cell r="D60" t="str">
            <v>Sieger 54</v>
          </cell>
          <cell r="E60" t="str">
            <v>Verlierer 56</v>
          </cell>
        </row>
        <row r="61">
          <cell r="C61">
            <v>59</v>
          </cell>
          <cell r="D61" t="str">
            <v>Sieger 57</v>
          </cell>
          <cell r="E61" t="str">
            <v>Sieger 58</v>
          </cell>
        </row>
        <row r="62">
          <cell r="C62">
            <v>60</v>
          </cell>
          <cell r="D62" t="str">
            <v>Sieger 55</v>
          </cell>
          <cell r="E62" t="str">
            <v>Sieger 56</v>
          </cell>
        </row>
        <row r="63">
          <cell r="C63">
            <v>61</v>
          </cell>
          <cell r="D63" t="str">
            <v>Sieger 59</v>
          </cell>
          <cell r="E63" t="str">
            <v>Verlierer 60</v>
          </cell>
        </row>
        <row r="64">
          <cell r="C64">
            <v>62</v>
          </cell>
          <cell r="D64" t="str">
            <v>Sieger 60</v>
          </cell>
          <cell r="E64" t="str">
            <v>Sieger 61</v>
          </cell>
        </row>
        <row r="65">
          <cell r="C65">
            <v>63</v>
          </cell>
          <cell r="D65" t="str">
            <v>Sieger 62</v>
          </cell>
          <cell r="E65" t="str">
            <v>Verlierer 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136"/>
  <sheetViews>
    <sheetView showGridLines="0" tabSelected="1" workbookViewId="0" topLeftCell="A1">
      <selection activeCell="F7" sqref="F7"/>
    </sheetView>
  </sheetViews>
  <sheetFormatPr defaultColWidth="11.421875" defaultRowHeight="12.75"/>
  <cols>
    <col min="1" max="1" width="9.140625" style="2" customWidth="1"/>
    <col min="2" max="2" width="4.8515625" style="2" customWidth="1"/>
    <col min="3" max="5" width="4.8515625" style="2" hidden="1" customWidth="1"/>
    <col min="6" max="6" width="28.00390625" style="2" customWidth="1"/>
    <col min="7" max="7" width="27.421875" style="2" customWidth="1"/>
    <col min="8" max="8" width="12.00390625" style="2" customWidth="1"/>
    <col min="9" max="9" width="8.7109375" style="2" bestFit="1" customWidth="1"/>
    <col min="10" max="10" width="3.421875" style="2" customWidth="1"/>
    <col min="11" max="11" width="18.140625" style="2" customWidth="1"/>
    <col min="12" max="12" width="22.28125" style="2" customWidth="1"/>
    <col min="13" max="16384" width="9.140625" style="2" customWidth="1"/>
  </cols>
  <sheetData>
    <row r="1" spans="1:10" ht="15.7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7" t="s">
        <v>40</v>
      </c>
      <c r="G2" s="255"/>
      <c r="H2" s="15" t="s">
        <v>65</v>
      </c>
      <c r="I2" s="1"/>
      <c r="J2" s="1"/>
    </row>
    <row r="3" spans="1:10" ht="15">
      <c r="A3" s="1"/>
      <c r="B3" s="1"/>
      <c r="C3" s="1"/>
      <c r="D3" s="1"/>
      <c r="E3" s="1"/>
      <c r="F3" s="19" t="s">
        <v>41</v>
      </c>
      <c r="G3" s="256"/>
      <c r="H3" s="15"/>
      <c r="I3" s="1"/>
      <c r="J3" s="1"/>
    </row>
    <row r="4" spans="1:10" ht="15">
      <c r="A4" s="1"/>
      <c r="B4" s="1"/>
      <c r="C4" s="1"/>
      <c r="D4" s="1"/>
      <c r="E4" s="1"/>
      <c r="F4" s="19" t="s">
        <v>42</v>
      </c>
      <c r="G4" s="257"/>
      <c r="H4" s="15"/>
      <c r="I4" s="1"/>
      <c r="J4" s="1"/>
    </row>
    <row r="5" spans="1:10" ht="15.75" thickBot="1">
      <c r="A5" s="1"/>
      <c r="B5" s="1"/>
      <c r="C5" s="1"/>
      <c r="D5" s="1"/>
      <c r="E5" s="1"/>
      <c r="F5" s="20" t="s">
        <v>43</v>
      </c>
      <c r="G5" s="258"/>
      <c r="H5" s="15"/>
      <c r="I5" s="1"/>
      <c r="J5" s="1"/>
    </row>
    <row r="6" spans="1:10" ht="15">
      <c r="A6" s="1"/>
      <c r="B6" s="1"/>
      <c r="C6" s="1"/>
      <c r="D6" s="1"/>
      <c r="E6" s="1"/>
      <c r="I6" s="1"/>
      <c r="J6" s="1"/>
    </row>
    <row r="7" spans="1:10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 thickBot="1">
      <c r="A8" s="1"/>
      <c r="B8" s="21"/>
      <c r="C8" s="37"/>
      <c r="D8" s="37"/>
      <c r="E8" s="37"/>
      <c r="F8" s="22" t="s">
        <v>0</v>
      </c>
      <c r="G8" s="22" t="s">
        <v>1</v>
      </c>
      <c r="H8" s="22" t="s">
        <v>2</v>
      </c>
      <c r="I8" s="23" t="s">
        <v>3</v>
      </c>
      <c r="J8" s="1"/>
    </row>
    <row r="9" spans="2:9" s="15" customFormat="1" ht="13.5" thickBot="1">
      <c r="B9" s="16">
        <v>1</v>
      </c>
      <c r="C9" s="38">
        <f ca="1">IF(OR(F9="",F9="Freilos"),1.01,RAND())</f>
        <v>1.01</v>
      </c>
      <c r="D9" s="39" t="str">
        <f>IF(C9&lt;=1,F9,"Freilos")</f>
        <v>Freilos</v>
      </c>
      <c r="E9" s="39" t="s">
        <v>57</v>
      </c>
      <c r="F9" s="39"/>
      <c r="G9" s="24"/>
      <c r="H9" s="24"/>
      <c r="I9" s="25"/>
    </row>
    <row r="10" spans="2:9" s="15" customFormat="1" ht="13.5" thickBot="1">
      <c r="B10" s="18">
        <v>2</v>
      </c>
      <c r="C10" s="38">
        <f aca="true" ca="1" t="shared" si="0" ref="C10:C73">IF(OR(F10="",F10="Freilos"),1.01,RAND())</f>
        <v>1.01</v>
      </c>
      <c r="D10" s="39" t="str">
        <f aca="true" t="shared" si="1" ref="D10:D73">IF(C10&lt;=1,F10,"Freilos")</f>
        <v>Freilos</v>
      </c>
      <c r="E10" s="40" t="s">
        <v>57</v>
      </c>
      <c r="F10" s="40"/>
      <c r="G10" s="26"/>
      <c r="H10" s="26"/>
      <c r="I10" s="27"/>
    </row>
    <row r="11" spans="2:9" s="15" customFormat="1" ht="13.5" thickBot="1">
      <c r="B11" s="18">
        <v>3</v>
      </c>
      <c r="C11" s="38">
        <f ca="1" t="shared" si="0"/>
        <v>1.01</v>
      </c>
      <c r="D11" s="39" t="str">
        <f t="shared" si="1"/>
        <v>Freilos</v>
      </c>
      <c r="E11" s="40" t="s">
        <v>57</v>
      </c>
      <c r="F11" s="40"/>
      <c r="G11" s="26"/>
      <c r="H11" s="26"/>
      <c r="I11" s="27"/>
    </row>
    <row r="12" spans="2:9" s="15" customFormat="1" ht="13.5" thickBot="1">
      <c r="B12" s="18">
        <v>4</v>
      </c>
      <c r="C12" s="38">
        <f ca="1" t="shared" si="0"/>
        <v>1.01</v>
      </c>
      <c r="D12" s="39" t="str">
        <f t="shared" si="1"/>
        <v>Freilos</v>
      </c>
      <c r="E12" s="40" t="s">
        <v>57</v>
      </c>
      <c r="F12" s="40"/>
      <c r="G12" s="26"/>
      <c r="H12" s="26"/>
      <c r="I12" s="27"/>
    </row>
    <row r="13" spans="2:9" s="15" customFormat="1" ht="13.5" thickBot="1">
      <c r="B13" s="18">
        <v>5</v>
      </c>
      <c r="C13" s="38">
        <f ca="1" t="shared" si="0"/>
        <v>1.01</v>
      </c>
      <c r="D13" s="39" t="str">
        <f t="shared" si="1"/>
        <v>Freilos</v>
      </c>
      <c r="E13" s="40" t="s">
        <v>57</v>
      </c>
      <c r="F13" s="40"/>
      <c r="G13" s="26"/>
      <c r="H13" s="26"/>
      <c r="I13" s="27"/>
    </row>
    <row r="14" spans="2:9" s="15" customFormat="1" ht="13.5" thickBot="1">
      <c r="B14" s="18">
        <v>6</v>
      </c>
      <c r="C14" s="38">
        <f ca="1" t="shared" si="0"/>
        <v>1.01</v>
      </c>
      <c r="D14" s="39" t="str">
        <f t="shared" si="1"/>
        <v>Freilos</v>
      </c>
      <c r="E14" s="40" t="s">
        <v>57</v>
      </c>
      <c r="F14" s="40"/>
      <c r="G14" s="26"/>
      <c r="H14" s="26"/>
      <c r="I14" s="27"/>
    </row>
    <row r="15" spans="2:9" s="15" customFormat="1" ht="13.5" thickBot="1">
      <c r="B15" s="18">
        <v>7</v>
      </c>
      <c r="C15" s="38">
        <f ca="1" t="shared" si="0"/>
        <v>1.01</v>
      </c>
      <c r="D15" s="39" t="str">
        <f t="shared" si="1"/>
        <v>Freilos</v>
      </c>
      <c r="E15" s="40" t="s">
        <v>57</v>
      </c>
      <c r="F15" s="40"/>
      <c r="G15" s="26"/>
      <c r="H15" s="26"/>
      <c r="I15" s="27"/>
    </row>
    <row r="16" spans="2:9" s="15" customFormat="1" ht="13.5" thickBot="1">
      <c r="B16" s="18">
        <v>8</v>
      </c>
      <c r="C16" s="38">
        <f ca="1" t="shared" si="0"/>
        <v>1.01</v>
      </c>
      <c r="D16" s="39" t="str">
        <f t="shared" si="1"/>
        <v>Freilos</v>
      </c>
      <c r="E16" s="40" t="s">
        <v>57</v>
      </c>
      <c r="F16" s="40"/>
      <c r="G16" s="26"/>
      <c r="H16" s="26"/>
      <c r="I16" s="27"/>
    </row>
    <row r="17" spans="2:9" s="15" customFormat="1" ht="13.5" thickBot="1">
      <c r="B17" s="18">
        <v>9</v>
      </c>
      <c r="C17" s="38">
        <f ca="1" t="shared" si="0"/>
        <v>1.01</v>
      </c>
      <c r="D17" s="39" t="str">
        <f t="shared" si="1"/>
        <v>Freilos</v>
      </c>
      <c r="E17" s="40" t="s">
        <v>57</v>
      </c>
      <c r="F17" s="40"/>
      <c r="G17" s="26"/>
      <c r="H17" s="26"/>
      <c r="I17" s="27"/>
    </row>
    <row r="18" spans="2:9" s="15" customFormat="1" ht="13.5" thickBot="1">
      <c r="B18" s="18">
        <v>10</v>
      </c>
      <c r="C18" s="38">
        <f ca="1" t="shared" si="0"/>
        <v>1.01</v>
      </c>
      <c r="D18" s="39" t="str">
        <f t="shared" si="1"/>
        <v>Freilos</v>
      </c>
      <c r="E18" s="40" t="s">
        <v>57</v>
      </c>
      <c r="F18" s="40"/>
      <c r="G18" s="26"/>
      <c r="H18" s="26"/>
      <c r="I18" s="27"/>
    </row>
    <row r="19" spans="2:9" s="15" customFormat="1" ht="13.5" thickBot="1">
      <c r="B19" s="18">
        <v>11</v>
      </c>
      <c r="C19" s="38">
        <f ca="1" t="shared" si="0"/>
        <v>1.01</v>
      </c>
      <c r="D19" s="39" t="str">
        <f t="shared" si="1"/>
        <v>Freilos</v>
      </c>
      <c r="E19" s="40" t="s">
        <v>57</v>
      </c>
      <c r="F19" s="40"/>
      <c r="G19" s="26"/>
      <c r="H19" s="26"/>
      <c r="I19" s="27"/>
    </row>
    <row r="20" spans="2:9" s="15" customFormat="1" ht="13.5" thickBot="1">
      <c r="B20" s="18">
        <v>12</v>
      </c>
      <c r="C20" s="38">
        <f ca="1" t="shared" si="0"/>
        <v>1.01</v>
      </c>
      <c r="D20" s="39" t="str">
        <f t="shared" si="1"/>
        <v>Freilos</v>
      </c>
      <c r="E20" s="40" t="s">
        <v>57</v>
      </c>
      <c r="F20" s="40"/>
      <c r="G20" s="26"/>
      <c r="H20" s="26"/>
      <c r="I20" s="27"/>
    </row>
    <row r="21" spans="2:9" s="15" customFormat="1" ht="13.5" thickBot="1">
      <c r="B21" s="18">
        <v>13</v>
      </c>
      <c r="C21" s="38">
        <f ca="1" t="shared" si="0"/>
        <v>1.01</v>
      </c>
      <c r="D21" s="39" t="str">
        <f t="shared" si="1"/>
        <v>Freilos</v>
      </c>
      <c r="E21" s="40" t="s">
        <v>57</v>
      </c>
      <c r="F21" s="40"/>
      <c r="G21" s="26"/>
      <c r="H21" s="26"/>
      <c r="I21" s="27"/>
    </row>
    <row r="22" spans="2:9" s="15" customFormat="1" ht="13.5" thickBot="1">
      <c r="B22" s="18">
        <v>14</v>
      </c>
      <c r="C22" s="38">
        <f ca="1" t="shared" si="0"/>
        <v>1.01</v>
      </c>
      <c r="D22" s="39" t="str">
        <f t="shared" si="1"/>
        <v>Freilos</v>
      </c>
      <c r="E22" s="40" t="s">
        <v>57</v>
      </c>
      <c r="F22" s="40"/>
      <c r="G22" s="26"/>
      <c r="H22" s="26"/>
      <c r="I22" s="27"/>
    </row>
    <row r="23" spans="2:9" s="15" customFormat="1" ht="13.5" thickBot="1">
      <c r="B23" s="18">
        <v>15</v>
      </c>
      <c r="C23" s="38">
        <f ca="1" t="shared" si="0"/>
        <v>1.01</v>
      </c>
      <c r="D23" s="39" t="str">
        <f t="shared" si="1"/>
        <v>Freilos</v>
      </c>
      <c r="E23" s="40" t="s">
        <v>57</v>
      </c>
      <c r="F23" s="40"/>
      <c r="G23" s="26"/>
      <c r="H23" s="26"/>
      <c r="I23" s="27"/>
    </row>
    <row r="24" spans="2:9" s="15" customFormat="1" ht="13.5" thickBot="1">
      <c r="B24" s="18">
        <v>16</v>
      </c>
      <c r="C24" s="38">
        <f ca="1" t="shared" si="0"/>
        <v>1.01</v>
      </c>
      <c r="D24" s="39" t="str">
        <f t="shared" si="1"/>
        <v>Freilos</v>
      </c>
      <c r="E24" s="40" t="s">
        <v>57</v>
      </c>
      <c r="F24" s="40"/>
      <c r="G24" s="26"/>
      <c r="H24" s="26"/>
      <c r="I24" s="27"/>
    </row>
    <row r="25" spans="2:9" s="15" customFormat="1" ht="13.5" thickBot="1">
      <c r="B25" s="18">
        <v>17</v>
      </c>
      <c r="C25" s="38">
        <f ca="1" t="shared" si="0"/>
        <v>1.01</v>
      </c>
      <c r="D25" s="39" t="str">
        <f t="shared" si="1"/>
        <v>Freilos</v>
      </c>
      <c r="E25" s="40" t="s">
        <v>57</v>
      </c>
      <c r="F25" s="40"/>
      <c r="G25" s="26"/>
      <c r="H25" s="26"/>
      <c r="I25" s="27"/>
    </row>
    <row r="26" spans="2:9" s="15" customFormat="1" ht="13.5" thickBot="1">
      <c r="B26" s="18">
        <v>18</v>
      </c>
      <c r="C26" s="38">
        <f ca="1" t="shared" si="0"/>
        <v>1.01</v>
      </c>
      <c r="D26" s="39" t="str">
        <f t="shared" si="1"/>
        <v>Freilos</v>
      </c>
      <c r="E26" s="40" t="s">
        <v>57</v>
      </c>
      <c r="F26" s="40"/>
      <c r="G26" s="26"/>
      <c r="H26" s="26"/>
      <c r="I26" s="27"/>
    </row>
    <row r="27" spans="2:9" s="15" customFormat="1" ht="13.5" thickBot="1">
      <c r="B27" s="18">
        <v>19</v>
      </c>
      <c r="C27" s="38">
        <f ca="1" t="shared" si="0"/>
        <v>1.01</v>
      </c>
      <c r="D27" s="39" t="str">
        <f t="shared" si="1"/>
        <v>Freilos</v>
      </c>
      <c r="E27" s="40" t="s">
        <v>57</v>
      </c>
      <c r="F27" s="40"/>
      <c r="G27" s="26"/>
      <c r="H27" s="26"/>
      <c r="I27" s="27"/>
    </row>
    <row r="28" spans="2:9" s="15" customFormat="1" ht="13.5" thickBot="1">
      <c r="B28" s="18">
        <v>20</v>
      </c>
      <c r="C28" s="38">
        <f ca="1" t="shared" si="0"/>
        <v>1.01</v>
      </c>
      <c r="D28" s="39" t="str">
        <f t="shared" si="1"/>
        <v>Freilos</v>
      </c>
      <c r="E28" s="40" t="s">
        <v>57</v>
      </c>
      <c r="F28" s="40"/>
      <c r="G28" s="26"/>
      <c r="H28" s="26"/>
      <c r="I28" s="27"/>
    </row>
    <row r="29" spans="2:9" s="15" customFormat="1" ht="13.5" thickBot="1">
      <c r="B29" s="18">
        <v>21</v>
      </c>
      <c r="C29" s="38">
        <f ca="1" t="shared" si="0"/>
        <v>1.01</v>
      </c>
      <c r="D29" s="39" t="str">
        <f t="shared" si="1"/>
        <v>Freilos</v>
      </c>
      <c r="E29" s="40" t="s">
        <v>57</v>
      </c>
      <c r="F29" s="40"/>
      <c r="G29" s="26"/>
      <c r="H29" s="26"/>
      <c r="I29" s="27"/>
    </row>
    <row r="30" spans="2:9" s="15" customFormat="1" ht="13.5" thickBot="1">
      <c r="B30" s="18">
        <v>22</v>
      </c>
      <c r="C30" s="38">
        <f ca="1" t="shared" si="0"/>
        <v>1.01</v>
      </c>
      <c r="D30" s="39" t="str">
        <f t="shared" si="1"/>
        <v>Freilos</v>
      </c>
      <c r="E30" s="40" t="s">
        <v>57</v>
      </c>
      <c r="F30" s="40"/>
      <c r="G30" s="26"/>
      <c r="H30" s="26"/>
      <c r="I30" s="27"/>
    </row>
    <row r="31" spans="2:9" s="15" customFormat="1" ht="13.5" thickBot="1">
      <c r="B31" s="18">
        <v>23</v>
      </c>
      <c r="C31" s="38">
        <f ca="1" t="shared" si="0"/>
        <v>1.01</v>
      </c>
      <c r="D31" s="39" t="str">
        <f t="shared" si="1"/>
        <v>Freilos</v>
      </c>
      <c r="E31" s="40" t="s">
        <v>57</v>
      </c>
      <c r="F31" s="40"/>
      <c r="G31" s="26"/>
      <c r="H31" s="26"/>
      <c r="I31" s="27"/>
    </row>
    <row r="32" spans="2:9" s="15" customFormat="1" ht="13.5" thickBot="1">
      <c r="B32" s="18">
        <v>24</v>
      </c>
      <c r="C32" s="38">
        <f ca="1" t="shared" si="0"/>
        <v>1.01</v>
      </c>
      <c r="D32" s="39" t="str">
        <f t="shared" si="1"/>
        <v>Freilos</v>
      </c>
      <c r="E32" s="40" t="s">
        <v>57</v>
      </c>
      <c r="F32" s="40"/>
      <c r="G32" s="26"/>
      <c r="H32" s="26"/>
      <c r="I32" s="27"/>
    </row>
    <row r="33" spans="2:9" s="15" customFormat="1" ht="13.5" thickBot="1">
      <c r="B33" s="18">
        <v>25</v>
      </c>
      <c r="C33" s="38">
        <f ca="1" t="shared" si="0"/>
        <v>1.01</v>
      </c>
      <c r="D33" s="39" t="str">
        <f t="shared" si="1"/>
        <v>Freilos</v>
      </c>
      <c r="E33" s="40" t="s">
        <v>57</v>
      </c>
      <c r="F33" s="40"/>
      <c r="G33" s="26"/>
      <c r="H33" s="26"/>
      <c r="I33" s="27"/>
    </row>
    <row r="34" spans="2:9" s="15" customFormat="1" ht="13.5" thickBot="1">
      <c r="B34" s="18">
        <v>26</v>
      </c>
      <c r="C34" s="38">
        <f ca="1" t="shared" si="0"/>
        <v>1.01</v>
      </c>
      <c r="D34" s="39" t="str">
        <f t="shared" si="1"/>
        <v>Freilos</v>
      </c>
      <c r="E34" s="40" t="s">
        <v>57</v>
      </c>
      <c r="F34" s="40"/>
      <c r="G34" s="26"/>
      <c r="H34" s="26"/>
      <c r="I34" s="27"/>
    </row>
    <row r="35" spans="2:9" s="15" customFormat="1" ht="13.5" thickBot="1">
      <c r="B35" s="18">
        <v>27</v>
      </c>
      <c r="C35" s="38">
        <f ca="1" t="shared" si="0"/>
        <v>1.01</v>
      </c>
      <c r="D35" s="39" t="str">
        <f t="shared" si="1"/>
        <v>Freilos</v>
      </c>
      <c r="E35" s="40" t="s">
        <v>57</v>
      </c>
      <c r="F35" s="40"/>
      <c r="G35" s="26"/>
      <c r="H35" s="26"/>
      <c r="I35" s="27"/>
    </row>
    <row r="36" spans="2:9" s="15" customFormat="1" ht="13.5" thickBot="1">
      <c r="B36" s="18">
        <v>28</v>
      </c>
      <c r="C36" s="38">
        <f ca="1" t="shared" si="0"/>
        <v>1.01</v>
      </c>
      <c r="D36" s="39" t="str">
        <f t="shared" si="1"/>
        <v>Freilos</v>
      </c>
      <c r="E36" s="40" t="s">
        <v>57</v>
      </c>
      <c r="F36" s="40"/>
      <c r="G36" s="26"/>
      <c r="H36" s="26"/>
      <c r="I36" s="27"/>
    </row>
    <row r="37" spans="2:9" s="15" customFormat="1" ht="13.5" thickBot="1">
      <c r="B37" s="18">
        <v>29</v>
      </c>
      <c r="C37" s="38">
        <f ca="1" t="shared" si="0"/>
        <v>1.01</v>
      </c>
      <c r="D37" s="39" t="str">
        <f t="shared" si="1"/>
        <v>Freilos</v>
      </c>
      <c r="E37" s="40" t="s">
        <v>57</v>
      </c>
      <c r="F37" s="40"/>
      <c r="G37" s="26"/>
      <c r="H37" s="26"/>
      <c r="I37" s="27"/>
    </row>
    <row r="38" spans="2:9" s="15" customFormat="1" ht="13.5" thickBot="1">
      <c r="B38" s="18">
        <v>30</v>
      </c>
      <c r="C38" s="38">
        <f ca="1" t="shared" si="0"/>
        <v>1.01</v>
      </c>
      <c r="D38" s="39" t="str">
        <f t="shared" si="1"/>
        <v>Freilos</v>
      </c>
      <c r="E38" s="40" t="s">
        <v>57</v>
      </c>
      <c r="F38" s="40"/>
      <c r="G38" s="26"/>
      <c r="H38" s="26"/>
      <c r="I38" s="27"/>
    </row>
    <row r="39" spans="2:9" s="15" customFormat="1" ht="13.5" thickBot="1">
      <c r="B39" s="18">
        <v>31</v>
      </c>
      <c r="C39" s="38">
        <f ca="1" t="shared" si="0"/>
        <v>1.01</v>
      </c>
      <c r="D39" s="39" t="str">
        <f t="shared" si="1"/>
        <v>Freilos</v>
      </c>
      <c r="E39" s="40" t="s">
        <v>57</v>
      </c>
      <c r="F39" s="40"/>
      <c r="G39" s="26"/>
      <c r="H39" s="26"/>
      <c r="I39" s="27"/>
    </row>
    <row r="40" spans="2:9" s="15" customFormat="1" ht="13.5" thickBot="1">
      <c r="B40" s="18">
        <v>32</v>
      </c>
      <c r="C40" s="38">
        <f ca="1" t="shared" si="0"/>
        <v>1.01</v>
      </c>
      <c r="D40" s="39" t="str">
        <f t="shared" si="1"/>
        <v>Freilos</v>
      </c>
      <c r="E40" s="40" t="s">
        <v>57</v>
      </c>
      <c r="F40" s="40"/>
      <c r="G40" s="26"/>
      <c r="H40" s="26"/>
      <c r="I40" s="27"/>
    </row>
    <row r="41" spans="2:9" s="15" customFormat="1" ht="13.5" thickBot="1">
      <c r="B41" s="18">
        <v>33</v>
      </c>
      <c r="C41" s="38">
        <f ca="1" t="shared" si="0"/>
        <v>1.01</v>
      </c>
      <c r="D41" s="39" t="str">
        <f t="shared" si="1"/>
        <v>Freilos</v>
      </c>
      <c r="E41" s="40" t="s">
        <v>57</v>
      </c>
      <c r="F41" s="40"/>
      <c r="G41" s="26"/>
      <c r="H41" s="26"/>
      <c r="I41" s="27"/>
    </row>
    <row r="42" spans="2:9" s="15" customFormat="1" ht="13.5" thickBot="1">
      <c r="B42" s="18">
        <v>34</v>
      </c>
      <c r="C42" s="38">
        <f ca="1" t="shared" si="0"/>
        <v>1.01</v>
      </c>
      <c r="D42" s="39" t="str">
        <f t="shared" si="1"/>
        <v>Freilos</v>
      </c>
      <c r="E42" s="40" t="s">
        <v>57</v>
      </c>
      <c r="F42" s="40"/>
      <c r="G42" s="26"/>
      <c r="H42" s="26"/>
      <c r="I42" s="27"/>
    </row>
    <row r="43" spans="2:9" s="15" customFormat="1" ht="13.5" thickBot="1">
      <c r="B43" s="18">
        <v>35</v>
      </c>
      <c r="C43" s="38">
        <f ca="1" t="shared" si="0"/>
        <v>1.01</v>
      </c>
      <c r="D43" s="39" t="str">
        <f t="shared" si="1"/>
        <v>Freilos</v>
      </c>
      <c r="E43" s="40" t="s">
        <v>57</v>
      </c>
      <c r="F43" s="40"/>
      <c r="G43" s="26"/>
      <c r="H43" s="26"/>
      <c r="I43" s="27"/>
    </row>
    <row r="44" spans="2:9" s="15" customFormat="1" ht="13.5" thickBot="1">
      <c r="B44" s="18">
        <v>36</v>
      </c>
      <c r="C44" s="38">
        <f ca="1" t="shared" si="0"/>
        <v>1.01</v>
      </c>
      <c r="D44" s="39" t="str">
        <f t="shared" si="1"/>
        <v>Freilos</v>
      </c>
      <c r="E44" s="40" t="s">
        <v>57</v>
      </c>
      <c r="F44" s="40"/>
      <c r="G44" s="26"/>
      <c r="H44" s="26"/>
      <c r="I44" s="27"/>
    </row>
    <row r="45" spans="2:9" s="15" customFormat="1" ht="13.5" thickBot="1">
      <c r="B45" s="18">
        <v>37</v>
      </c>
      <c r="C45" s="38">
        <f ca="1" t="shared" si="0"/>
        <v>1.01</v>
      </c>
      <c r="D45" s="39" t="str">
        <f t="shared" si="1"/>
        <v>Freilos</v>
      </c>
      <c r="E45" s="40" t="s">
        <v>57</v>
      </c>
      <c r="F45" s="40"/>
      <c r="G45" s="26"/>
      <c r="H45" s="26"/>
      <c r="I45" s="27"/>
    </row>
    <row r="46" spans="2:9" s="15" customFormat="1" ht="13.5" thickBot="1">
      <c r="B46" s="18">
        <v>38</v>
      </c>
      <c r="C46" s="38">
        <f ca="1" t="shared" si="0"/>
        <v>1.01</v>
      </c>
      <c r="D46" s="39" t="str">
        <f t="shared" si="1"/>
        <v>Freilos</v>
      </c>
      <c r="E46" s="40" t="s">
        <v>57</v>
      </c>
      <c r="F46" s="40"/>
      <c r="G46" s="26"/>
      <c r="H46" s="26"/>
      <c r="I46" s="27"/>
    </row>
    <row r="47" spans="2:9" s="15" customFormat="1" ht="13.5" thickBot="1">
      <c r="B47" s="18">
        <v>39</v>
      </c>
      <c r="C47" s="38">
        <f ca="1" t="shared" si="0"/>
        <v>1.01</v>
      </c>
      <c r="D47" s="39" t="str">
        <f t="shared" si="1"/>
        <v>Freilos</v>
      </c>
      <c r="E47" s="40" t="s">
        <v>57</v>
      </c>
      <c r="F47" s="40"/>
      <c r="G47" s="26"/>
      <c r="H47" s="26"/>
      <c r="I47" s="27"/>
    </row>
    <row r="48" spans="2:9" s="15" customFormat="1" ht="13.5" thickBot="1">
      <c r="B48" s="18">
        <v>40</v>
      </c>
      <c r="C48" s="38">
        <f ca="1" t="shared" si="0"/>
        <v>1.01</v>
      </c>
      <c r="D48" s="39" t="str">
        <f t="shared" si="1"/>
        <v>Freilos</v>
      </c>
      <c r="E48" s="40" t="s">
        <v>57</v>
      </c>
      <c r="F48" s="40"/>
      <c r="G48" s="26"/>
      <c r="H48" s="26"/>
      <c r="I48" s="27"/>
    </row>
    <row r="49" spans="2:9" s="15" customFormat="1" ht="13.5" thickBot="1">
      <c r="B49" s="18">
        <v>41</v>
      </c>
      <c r="C49" s="38">
        <f ca="1" t="shared" si="0"/>
        <v>1.01</v>
      </c>
      <c r="D49" s="39" t="str">
        <f t="shared" si="1"/>
        <v>Freilos</v>
      </c>
      <c r="E49" s="40" t="s">
        <v>57</v>
      </c>
      <c r="F49" s="40"/>
      <c r="G49" s="26"/>
      <c r="H49" s="26"/>
      <c r="I49" s="27"/>
    </row>
    <row r="50" spans="2:9" s="15" customFormat="1" ht="13.5" thickBot="1">
      <c r="B50" s="18">
        <v>42</v>
      </c>
      <c r="C50" s="38">
        <f ca="1" t="shared" si="0"/>
        <v>1.01</v>
      </c>
      <c r="D50" s="39" t="str">
        <f t="shared" si="1"/>
        <v>Freilos</v>
      </c>
      <c r="E50" s="40" t="s">
        <v>57</v>
      </c>
      <c r="F50" s="40"/>
      <c r="G50" s="26"/>
      <c r="H50" s="26"/>
      <c r="I50" s="27"/>
    </row>
    <row r="51" spans="2:9" s="15" customFormat="1" ht="13.5" thickBot="1">
      <c r="B51" s="18">
        <v>43</v>
      </c>
      <c r="C51" s="38">
        <f ca="1" t="shared" si="0"/>
        <v>1.01</v>
      </c>
      <c r="D51" s="39" t="str">
        <f t="shared" si="1"/>
        <v>Freilos</v>
      </c>
      <c r="E51" s="40" t="s">
        <v>57</v>
      </c>
      <c r="F51" s="40"/>
      <c r="G51" s="26"/>
      <c r="H51" s="26"/>
      <c r="I51" s="27"/>
    </row>
    <row r="52" spans="2:9" s="15" customFormat="1" ht="13.5" thickBot="1">
      <c r="B52" s="18">
        <v>44</v>
      </c>
      <c r="C52" s="38">
        <f ca="1" t="shared" si="0"/>
        <v>1.01</v>
      </c>
      <c r="D52" s="39" t="str">
        <f t="shared" si="1"/>
        <v>Freilos</v>
      </c>
      <c r="E52" s="40" t="s">
        <v>57</v>
      </c>
      <c r="F52" s="40"/>
      <c r="G52" s="26"/>
      <c r="H52" s="26"/>
      <c r="I52" s="27"/>
    </row>
    <row r="53" spans="2:9" s="15" customFormat="1" ht="13.5" thickBot="1">
      <c r="B53" s="18">
        <v>45</v>
      </c>
      <c r="C53" s="38">
        <f ca="1" t="shared" si="0"/>
        <v>1.01</v>
      </c>
      <c r="D53" s="39" t="str">
        <f t="shared" si="1"/>
        <v>Freilos</v>
      </c>
      <c r="E53" s="40" t="s">
        <v>57</v>
      </c>
      <c r="F53" s="40"/>
      <c r="G53" s="26"/>
      <c r="H53" s="26"/>
      <c r="I53" s="27"/>
    </row>
    <row r="54" spans="2:9" s="15" customFormat="1" ht="13.5" thickBot="1">
      <c r="B54" s="18">
        <v>46</v>
      </c>
      <c r="C54" s="38">
        <f ca="1" t="shared" si="0"/>
        <v>1.01</v>
      </c>
      <c r="D54" s="39" t="str">
        <f t="shared" si="1"/>
        <v>Freilos</v>
      </c>
      <c r="E54" s="40" t="s">
        <v>57</v>
      </c>
      <c r="F54" s="40"/>
      <c r="G54" s="26"/>
      <c r="H54" s="26"/>
      <c r="I54" s="27"/>
    </row>
    <row r="55" spans="2:9" s="15" customFormat="1" ht="13.5" thickBot="1">
      <c r="B55" s="18">
        <v>47</v>
      </c>
      <c r="C55" s="38">
        <f ca="1" t="shared" si="0"/>
        <v>1.01</v>
      </c>
      <c r="D55" s="39" t="str">
        <f t="shared" si="1"/>
        <v>Freilos</v>
      </c>
      <c r="E55" s="40" t="s">
        <v>57</v>
      </c>
      <c r="F55" s="40"/>
      <c r="G55" s="26"/>
      <c r="H55" s="26"/>
      <c r="I55" s="27"/>
    </row>
    <row r="56" spans="2:9" s="15" customFormat="1" ht="13.5" thickBot="1">
      <c r="B56" s="18">
        <v>48</v>
      </c>
      <c r="C56" s="38">
        <f ca="1" t="shared" si="0"/>
        <v>1.01</v>
      </c>
      <c r="D56" s="39" t="str">
        <f t="shared" si="1"/>
        <v>Freilos</v>
      </c>
      <c r="E56" s="40" t="s">
        <v>57</v>
      </c>
      <c r="F56" s="40"/>
      <c r="G56" s="26"/>
      <c r="H56" s="26"/>
      <c r="I56" s="27"/>
    </row>
    <row r="57" spans="2:9" s="15" customFormat="1" ht="13.5" thickBot="1">
      <c r="B57" s="18">
        <v>49</v>
      </c>
      <c r="C57" s="38">
        <f ca="1" t="shared" si="0"/>
        <v>1.01</v>
      </c>
      <c r="D57" s="39" t="str">
        <f t="shared" si="1"/>
        <v>Freilos</v>
      </c>
      <c r="E57" s="40" t="s">
        <v>57</v>
      </c>
      <c r="F57" s="40"/>
      <c r="G57" s="26"/>
      <c r="H57" s="26"/>
      <c r="I57" s="27"/>
    </row>
    <row r="58" spans="2:9" s="15" customFormat="1" ht="13.5" thickBot="1">
      <c r="B58" s="18">
        <v>50</v>
      </c>
      <c r="C58" s="38">
        <f ca="1" t="shared" si="0"/>
        <v>1.01</v>
      </c>
      <c r="D58" s="39" t="str">
        <f t="shared" si="1"/>
        <v>Freilos</v>
      </c>
      <c r="E58" s="40" t="s">
        <v>57</v>
      </c>
      <c r="F58" s="40"/>
      <c r="G58" s="26"/>
      <c r="H58" s="26"/>
      <c r="I58" s="27"/>
    </row>
    <row r="59" spans="2:9" s="15" customFormat="1" ht="13.5" thickBot="1">
      <c r="B59" s="18">
        <v>51</v>
      </c>
      <c r="C59" s="38">
        <f ca="1" t="shared" si="0"/>
        <v>1.01</v>
      </c>
      <c r="D59" s="39" t="str">
        <f t="shared" si="1"/>
        <v>Freilos</v>
      </c>
      <c r="E59" s="40" t="s">
        <v>57</v>
      </c>
      <c r="F59" s="40"/>
      <c r="G59" s="26"/>
      <c r="H59" s="26"/>
      <c r="I59" s="27"/>
    </row>
    <row r="60" spans="2:9" s="15" customFormat="1" ht="13.5" thickBot="1">
      <c r="B60" s="18">
        <v>52</v>
      </c>
      <c r="C60" s="38">
        <f ca="1" t="shared" si="0"/>
        <v>1.01</v>
      </c>
      <c r="D60" s="39" t="str">
        <f t="shared" si="1"/>
        <v>Freilos</v>
      </c>
      <c r="E60" s="40" t="s">
        <v>57</v>
      </c>
      <c r="F60" s="40"/>
      <c r="G60" s="26"/>
      <c r="H60" s="26"/>
      <c r="I60" s="27"/>
    </row>
    <row r="61" spans="2:9" s="15" customFormat="1" ht="13.5" thickBot="1">
      <c r="B61" s="18">
        <v>53</v>
      </c>
      <c r="C61" s="38">
        <f ca="1" t="shared" si="0"/>
        <v>1.01</v>
      </c>
      <c r="D61" s="39" t="str">
        <f t="shared" si="1"/>
        <v>Freilos</v>
      </c>
      <c r="E61" s="40" t="s">
        <v>57</v>
      </c>
      <c r="F61" s="40"/>
      <c r="G61" s="26"/>
      <c r="H61" s="26"/>
      <c r="I61" s="27"/>
    </row>
    <row r="62" spans="2:9" s="15" customFormat="1" ht="13.5" thickBot="1">
      <c r="B62" s="18">
        <v>54</v>
      </c>
      <c r="C62" s="38">
        <f ca="1" t="shared" si="0"/>
        <v>1.01</v>
      </c>
      <c r="D62" s="39" t="str">
        <f t="shared" si="1"/>
        <v>Freilos</v>
      </c>
      <c r="E62" s="40" t="s">
        <v>57</v>
      </c>
      <c r="F62" s="40"/>
      <c r="G62" s="26"/>
      <c r="H62" s="26"/>
      <c r="I62" s="27"/>
    </row>
    <row r="63" spans="2:9" s="15" customFormat="1" ht="13.5" thickBot="1">
      <c r="B63" s="18">
        <v>55</v>
      </c>
      <c r="C63" s="38">
        <f ca="1" t="shared" si="0"/>
        <v>1.01</v>
      </c>
      <c r="D63" s="39" t="str">
        <f t="shared" si="1"/>
        <v>Freilos</v>
      </c>
      <c r="E63" s="40" t="s">
        <v>57</v>
      </c>
      <c r="F63" s="40"/>
      <c r="G63" s="26"/>
      <c r="H63" s="26"/>
      <c r="I63" s="27"/>
    </row>
    <row r="64" spans="2:9" s="15" customFormat="1" ht="13.5" thickBot="1">
      <c r="B64" s="18">
        <v>56</v>
      </c>
      <c r="C64" s="38">
        <f ca="1" t="shared" si="0"/>
        <v>1.01</v>
      </c>
      <c r="D64" s="39" t="str">
        <f t="shared" si="1"/>
        <v>Freilos</v>
      </c>
      <c r="E64" s="40" t="s">
        <v>57</v>
      </c>
      <c r="F64" s="40"/>
      <c r="G64" s="26"/>
      <c r="H64" s="26"/>
      <c r="I64" s="27"/>
    </row>
    <row r="65" spans="2:9" s="15" customFormat="1" ht="13.5" thickBot="1">
      <c r="B65" s="18">
        <v>57</v>
      </c>
      <c r="C65" s="38">
        <f ca="1" t="shared" si="0"/>
        <v>1.01</v>
      </c>
      <c r="D65" s="39" t="str">
        <f t="shared" si="1"/>
        <v>Freilos</v>
      </c>
      <c r="E65" s="40" t="s">
        <v>57</v>
      </c>
      <c r="F65" s="40"/>
      <c r="G65" s="26"/>
      <c r="H65" s="26"/>
      <c r="I65" s="27"/>
    </row>
    <row r="66" spans="2:9" s="15" customFormat="1" ht="13.5" thickBot="1">
      <c r="B66" s="18">
        <v>58</v>
      </c>
      <c r="C66" s="38">
        <f ca="1" t="shared" si="0"/>
        <v>1.01</v>
      </c>
      <c r="D66" s="39" t="str">
        <f t="shared" si="1"/>
        <v>Freilos</v>
      </c>
      <c r="E66" s="40" t="s">
        <v>57</v>
      </c>
      <c r="F66" s="40"/>
      <c r="G66" s="26"/>
      <c r="H66" s="26"/>
      <c r="I66" s="27"/>
    </row>
    <row r="67" spans="2:9" s="15" customFormat="1" ht="13.5" thickBot="1">
      <c r="B67" s="18">
        <v>59</v>
      </c>
      <c r="C67" s="38">
        <f ca="1" t="shared" si="0"/>
        <v>1.01</v>
      </c>
      <c r="D67" s="39" t="str">
        <f t="shared" si="1"/>
        <v>Freilos</v>
      </c>
      <c r="E67" s="40" t="s">
        <v>57</v>
      </c>
      <c r="F67" s="40"/>
      <c r="G67" s="26"/>
      <c r="H67" s="26"/>
      <c r="I67" s="27"/>
    </row>
    <row r="68" spans="2:9" s="15" customFormat="1" ht="13.5" thickBot="1">
      <c r="B68" s="18">
        <v>60</v>
      </c>
      <c r="C68" s="38">
        <f ca="1" t="shared" si="0"/>
        <v>1.01</v>
      </c>
      <c r="D68" s="39" t="str">
        <f t="shared" si="1"/>
        <v>Freilos</v>
      </c>
      <c r="E68" s="40" t="s">
        <v>57</v>
      </c>
      <c r="F68" s="40"/>
      <c r="G68" s="26"/>
      <c r="H68" s="26"/>
      <c r="I68" s="27"/>
    </row>
    <row r="69" spans="2:9" s="15" customFormat="1" ht="13.5" thickBot="1">
      <c r="B69" s="18">
        <v>61</v>
      </c>
      <c r="C69" s="38">
        <f ca="1" t="shared" si="0"/>
        <v>1.01</v>
      </c>
      <c r="D69" s="39" t="str">
        <f t="shared" si="1"/>
        <v>Freilos</v>
      </c>
      <c r="E69" s="40" t="s">
        <v>57</v>
      </c>
      <c r="F69" s="40"/>
      <c r="G69" s="26"/>
      <c r="H69" s="26"/>
      <c r="I69" s="27"/>
    </row>
    <row r="70" spans="2:9" s="15" customFormat="1" ht="13.5" thickBot="1">
      <c r="B70" s="18">
        <v>62</v>
      </c>
      <c r="C70" s="38">
        <f ca="1" t="shared" si="0"/>
        <v>1.01</v>
      </c>
      <c r="D70" s="39" t="str">
        <f t="shared" si="1"/>
        <v>Freilos</v>
      </c>
      <c r="E70" s="40" t="s">
        <v>57</v>
      </c>
      <c r="F70" s="40"/>
      <c r="G70" s="26"/>
      <c r="H70" s="26"/>
      <c r="I70" s="27"/>
    </row>
    <row r="71" spans="2:9" s="15" customFormat="1" ht="13.5" thickBot="1">
      <c r="B71" s="18">
        <v>63</v>
      </c>
      <c r="C71" s="38">
        <f ca="1" t="shared" si="0"/>
        <v>1.01</v>
      </c>
      <c r="D71" s="39" t="str">
        <f t="shared" si="1"/>
        <v>Freilos</v>
      </c>
      <c r="E71" s="40" t="s">
        <v>57</v>
      </c>
      <c r="F71" s="40"/>
      <c r="G71" s="26"/>
      <c r="H71" s="26"/>
      <c r="I71" s="27"/>
    </row>
    <row r="72" spans="2:9" s="15" customFormat="1" ht="13.5" thickBot="1">
      <c r="B72" s="18">
        <v>64</v>
      </c>
      <c r="C72" s="38">
        <f ca="1" t="shared" si="0"/>
        <v>1.01</v>
      </c>
      <c r="D72" s="39" t="str">
        <f t="shared" si="1"/>
        <v>Freilos</v>
      </c>
      <c r="E72" s="40" t="s">
        <v>57</v>
      </c>
      <c r="F72" s="40"/>
      <c r="G72" s="26"/>
      <c r="H72" s="26"/>
      <c r="I72" s="27"/>
    </row>
    <row r="73" spans="2:9" s="15" customFormat="1" ht="13.5" thickBot="1">
      <c r="B73" s="18">
        <v>65</v>
      </c>
      <c r="C73" s="38">
        <f ca="1" t="shared" si="0"/>
        <v>1.01</v>
      </c>
      <c r="D73" s="39" t="str">
        <f t="shared" si="1"/>
        <v>Freilos</v>
      </c>
      <c r="E73" s="40" t="s">
        <v>57</v>
      </c>
      <c r="F73" s="40"/>
      <c r="G73" s="26"/>
      <c r="H73" s="26"/>
      <c r="I73" s="27"/>
    </row>
    <row r="74" spans="2:9" s="15" customFormat="1" ht="13.5" thickBot="1">
      <c r="B74" s="18">
        <v>66</v>
      </c>
      <c r="C74" s="38">
        <f aca="true" ca="1" t="shared" si="2" ref="C74:C136">IF(OR(F74="",F74="Freilos"),1.01,RAND())</f>
        <v>1.01</v>
      </c>
      <c r="D74" s="39" t="str">
        <f aca="true" t="shared" si="3" ref="D74:D136">IF(C74&lt;=1,F74,"Freilos")</f>
        <v>Freilos</v>
      </c>
      <c r="E74" s="40" t="s">
        <v>57</v>
      </c>
      <c r="F74" s="40"/>
      <c r="G74" s="26"/>
      <c r="H74" s="26"/>
      <c r="I74" s="27"/>
    </row>
    <row r="75" spans="2:9" s="15" customFormat="1" ht="13.5" thickBot="1">
      <c r="B75" s="18">
        <v>67</v>
      </c>
      <c r="C75" s="38">
        <f ca="1" t="shared" si="2"/>
        <v>1.01</v>
      </c>
      <c r="D75" s="39" t="str">
        <f t="shared" si="3"/>
        <v>Freilos</v>
      </c>
      <c r="E75" s="40" t="s">
        <v>57</v>
      </c>
      <c r="F75" s="40"/>
      <c r="G75" s="26"/>
      <c r="H75" s="26"/>
      <c r="I75" s="27"/>
    </row>
    <row r="76" spans="2:9" ht="13.5" thickBot="1">
      <c r="B76" s="18">
        <v>68</v>
      </c>
      <c r="C76" s="38">
        <f ca="1" t="shared" si="2"/>
        <v>1.01</v>
      </c>
      <c r="D76" s="39" t="str">
        <f t="shared" si="3"/>
        <v>Freilos</v>
      </c>
      <c r="E76" s="40" t="s">
        <v>57</v>
      </c>
      <c r="F76" s="40"/>
      <c r="G76" s="26"/>
      <c r="H76" s="26"/>
      <c r="I76" s="27"/>
    </row>
    <row r="77" spans="2:9" ht="13.5" thickBot="1">
      <c r="B77" s="18">
        <v>69</v>
      </c>
      <c r="C77" s="38">
        <f ca="1" t="shared" si="2"/>
        <v>1.01</v>
      </c>
      <c r="D77" s="39" t="str">
        <f t="shared" si="3"/>
        <v>Freilos</v>
      </c>
      <c r="E77" s="40" t="s">
        <v>57</v>
      </c>
      <c r="F77" s="40"/>
      <c r="G77" s="26"/>
      <c r="H77" s="26"/>
      <c r="I77" s="27"/>
    </row>
    <row r="78" spans="2:9" ht="13.5" thickBot="1">
      <c r="B78" s="18">
        <v>70</v>
      </c>
      <c r="C78" s="38">
        <f ca="1" t="shared" si="2"/>
        <v>1.01</v>
      </c>
      <c r="D78" s="39" t="str">
        <f t="shared" si="3"/>
        <v>Freilos</v>
      </c>
      <c r="E78" s="40" t="s">
        <v>57</v>
      </c>
      <c r="F78" s="40"/>
      <c r="G78" s="26"/>
      <c r="H78" s="26"/>
      <c r="I78" s="27"/>
    </row>
    <row r="79" spans="2:9" ht="13.5" thickBot="1">
      <c r="B79" s="18">
        <v>71</v>
      </c>
      <c r="C79" s="38">
        <f ca="1" t="shared" si="2"/>
        <v>1.01</v>
      </c>
      <c r="D79" s="39" t="str">
        <f t="shared" si="3"/>
        <v>Freilos</v>
      </c>
      <c r="E79" s="40" t="s">
        <v>57</v>
      </c>
      <c r="F79" s="40"/>
      <c r="G79" s="26"/>
      <c r="H79" s="26"/>
      <c r="I79" s="27"/>
    </row>
    <row r="80" spans="2:9" ht="13.5" thickBot="1">
      <c r="B80" s="18">
        <v>72</v>
      </c>
      <c r="C80" s="38">
        <f ca="1" t="shared" si="2"/>
        <v>1.01</v>
      </c>
      <c r="D80" s="39" t="str">
        <f t="shared" si="3"/>
        <v>Freilos</v>
      </c>
      <c r="E80" s="40" t="s">
        <v>57</v>
      </c>
      <c r="F80" s="40"/>
      <c r="G80" s="26"/>
      <c r="H80" s="26"/>
      <c r="I80" s="27"/>
    </row>
    <row r="81" spans="2:9" ht="13.5" thickBot="1">
      <c r="B81" s="18">
        <v>73</v>
      </c>
      <c r="C81" s="38">
        <f ca="1" t="shared" si="2"/>
        <v>1.01</v>
      </c>
      <c r="D81" s="39" t="str">
        <f t="shared" si="3"/>
        <v>Freilos</v>
      </c>
      <c r="E81" s="40" t="s">
        <v>57</v>
      </c>
      <c r="F81" s="40"/>
      <c r="G81" s="26"/>
      <c r="H81" s="26"/>
      <c r="I81" s="27"/>
    </row>
    <row r="82" spans="2:9" ht="13.5" thickBot="1">
      <c r="B82" s="18">
        <v>74</v>
      </c>
      <c r="C82" s="38">
        <f ca="1" t="shared" si="2"/>
        <v>1.01</v>
      </c>
      <c r="D82" s="39" t="str">
        <f t="shared" si="3"/>
        <v>Freilos</v>
      </c>
      <c r="E82" s="40" t="s">
        <v>57</v>
      </c>
      <c r="F82" s="40"/>
      <c r="G82" s="26"/>
      <c r="H82" s="26"/>
      <c r="I82" s="27"/>
    </row>
    <row r="83" spans="2:9" ht="13.5" thickBot="1">
      <c r="B83" s="18">
        <v>75</v>
      </c>
      <c r="C83" s="38">
        <f ca="1" t="shared" si="2"/>
        <v>1.01</v>
      </c>
      <c r="D83" s="39" t="str">
        <f t="shared" si="3"/>
        <v>Freilos</v>
      </c>
      <c r="E83" s="40" t="s">
        <v>57</v>
      </c>
      <c r="F83" s="40"/>
      <c r="G83" s="26"/>
      <c r="H83" s="26"/>
      <c r="I83" s="27"/>
    </row>
    <row r="84" spans="2:9" ht="13.5" thickBot="1">
      <c r="B84" s="18">
        <v>76</v>
      </c>
      <c r="C84" s="38">
        <f ca="1" t="shared" si="2"/>
        <v>1.01</v>
      </c>
      <c r="D84" s="39" t="str">
        <f t="shared" si="3"/>
        <v>Freilos</v>
      </c>
      <c r="E84" s="40" t="s">
        <v>57</v>
      </c>
      <c r="F84" s="40"/>
      <c r="G84" s="26"/>
      <c r="H84" s="26"/>
      <c r="I84" s="27"/>
    </row>
    <row r="85" spans="2:9" ht="13.5" thickBot="1">
      <c r="B85" s="18">
        <v>77</v>
      </c>
      <c r="C85" s="38">
        <f ca="1" t="shared" si="2"/>
        <v>1.01</v>
      </c>
      <c r="D85" s="39" t="str">
        <f t="shared" si="3"/>
        <v>Freilos</v>
      </c>
      <c r="E85" s="40" t="s">
        <v>57</v>
      </c>
      <c r="F85" s="40"/>
      <c r="G85" s="26"/>
      <c r="H85" s="26"/>
      <c r="I85" s="27"/>
    </row>
    <row r="86" spans="2:9" ht="13.5" thickBot="1">
      <c r="B86" s="18">
        <v>78</v>
      </c>
      <c r="C86" s="38">
        <f ca="1" t="shared" si="2"/>
        <v>1.01</v>
      </c>
      <c r="D86" s="39" t="str">
        <f t="shared" si="3"/>
        <v>Freilos</v>
      </c>
      <c r="E86" s="40" t="s">
        <v>57</v>
      </c>
      <c r="F86" s="40"/>
      <c r="G86" s="26"/>
      <c r="H86" s="26"/>
      <c r="I86" s="27"/>
    </row>
    <row r="87" spans="2:9" ht="13.5" thickBot="1">
      <c r="B87" s="18">
        <v>79</v>
      </c>
      <c r="C87" s="38">
        <f ca="1" t="shared" si="2"/>
        <v>1.01</v>
      </c>
      <c r="D87" s="39" t="str">
        <f t="shared" si="3"/>
        <v>Freilos</v>
      </c>
      <c r="E87" s="40" t="s">
        <v>57</v>
      </c>
      <c r="F87" s="40"/>
      <c r="G87" s="26"/>
      <c r="H87" s="26"/>
      <c r="I87" s="27"/>
    </row>
    <row r="88" spans="2:9" ht="13.5" thickBot="1">
      <c r="B88" s="18">
        <v>80</v>
      </c>
      <c r="C88" s="38">
        <f ca="1" t="shared" si="2"/>
        <v>1.01</v>
      </c>
      <c r="D88" s="39" t="str">
        <f t="shared" si="3"/>
        <v>Freilos</v>
      </c>
      <c r="E88" s="40" t="s">
        <v>57</v>
      </c>
      <c r="F88" s="40"/>
      <c r="G88" s="26"/>
      <c r="H88" s="26"/>
      <c r="I88" s="27"/>
    </row>
    <row r="89" spans="2:9" ht="13.5" thickBot="1">
      <c r="B89" s="18">
        <v>81</v>
      </c>
      <c r="C89" s="38">
        <f ca="1" t="shared" si="2"/>
        <v>1.01</v>
      </c>
      <c r="D89" s="39" t="str">
        <f t="shared" si="3"/>
        <v>Freilos</v>
      </c>
      <c r="E89" s="40" t="s">
        <v>57</v>
      </c>
      <c r="F89" s="40"/>
      <c r="G89" s="26"/>
      <c r="H89" s="26"/>
      <c r="I89" s="27"/>
    </row>
    <row r="90" spans="2:9" ht="13.5" thickBot="1">
      <c r="B90" s="18">
        <v>82</v>
      </c>
      <c r="C90" s="38">
        <f ca="1" t="shared" si="2"/>
        <v>1.01</v>
      </c>
      <c r="D90" s="39" t="str">
        <f t="shared" si="3"/>
        <v>Freilos</v>
      </c>
      <c r="E90" s="40" t="s">
        <v>57</v>
      </c>
      <c r="F90" s="40"/>
      <c r="G90" s="26"/>
      <c r="H90" s="26"/>
      <c r="I90" s="27"/>
    </row>
    <row r="91" spans="2:9" ht="13.5" thickBot="1">
      <c r="B91" s="18">
        <v>83</v>
      </c>
      <c r="C91" s="38">
        <f ca="1" t="shared" si="2"/>
        <v>1.01</v>
      </c>
      <c r="D91" s="39" t="str">
        <f t="shared" si="3"/>
        <v>Freilos</v>
      </c>
      <c r="E91" s="40" t="s">
        <v>57</v>
      </c>
      <c r="F91" s="40"/>
      <c r="G91" s="26"/>
      <c r="H91" s="26"/>
      <c r="I91" s="27"/>
    </row>
    <row r="92" spans="2:9" ht="13.5" thickBot="1">
      <c r="B92" s="18">
        <v>84</v>
      </c>
      <c r="C92" s="38">
        <f ca="1" t="shared" si="2"/>
        <v>1.01</v>
      </c>
      <c r="D92" s="39" t="str">
        <f t="shared" si="3"/>
        <v>Freilos</v>
      </c>
      <c r="E92" s="40" t="s">
        <v>57</v>
      </c>
      <c r="F92" s="40"/>
      <c r="G92" s="26"/>
      <c r="H92" s="26"/>
      <c r="I92" s="27"/>
    </row>
    <row r="93" spans="2:9" ht="13.5" thickBot="1">
      <c r="B93" s="18">
        <v>85</v>
      </c>
      <c r="C93" s="38">
        <f ca="1" t="shared" si="2"/>
        <v>1.01</v>
      </c>
      <c r="D93" s="39" t="str">
        <f t="shared" si="3"/>
        <v>Freilos</v>
      </c>
      <c r="E93" s="40" t="s">
        <v>57</v>
      </c>
      <c r="F93" s="40"/>
      <c r="G93" s="26"/>
      <c r="H93" s="26"/>
      <c r="I93" s="27"/>
    </row>
    <row r="94" spans="2:9" ht="13.5" thickBot="1">
      <c r="B94" s="18">
        <v>86</v>
      </c>
      <c r="C94" s="38">
        <f ca="1" t="shared" si="2"/>
        <v>1.01</v>
      </c>
      <c r="D94" s="39" t="str">
        <f t="shared" si="3"/>
        <v>Freilos</v>
      </c>
      <c r="E94" s="40" t="s">
        <v>57</v>
      </c>
      <c r="F94" s="40"/>
      <c r="G94" s="26"/>
      <c r="H94" s="26"/>
      <c r="I94" s="27"/>
    </row>
    <row r="95" spans="2:9" ht="13.5" thickBot="1">
      <c r="B95" s="18">
        <v>87</v>
      </c>
      <c r="C95" s="38">
        <f ca="1" t="shared" si="2"/>
        <v>1.01</v>
      </c>
      <c r="D95" s="39" t="str">
        <f t="shared" si="3"/>
        <v>Freilos</v>
      </c>
      <c r="E95" s="40" t="s">
        <v>57</v>
      </c>
      <c r="F95" s="40"/>
      <c r="G95" s="26"/>
      <c r="H95" s="26"/>
      <c r="I95" s="27"/>
    </row>
    <row r="96" spans="2:9" ht="13.5" thickBot="1">
      <c r="B96" s="18">
        <v>88</v>
      </c>
      <c r="C96" s="38">
        <f ca="1" t="shared" si="2"/>
        <v>1.01</v>
      </c>
      <c r="D96" s="39" t="str">
        <f t="shared" si="3"/>
        <v>Freilos</v>
      </c>
      <c r="E96" s="40" t="s">
        <v>57</v>
      </c>
      <c r="F96" s="40"/>
      <c r="G96" s="26"/>
      <c r="H96" s="26"/>
      <c r="I96" s="27"/>
    </row>
    <row r="97" spans="2:9" ht="13.5" thickBot="1">
      <c r="B97" s="18">
        <v>89</v>
      </c>
      <c r="C97" s="38">
        <f ca="1" t="shared" si="2"/>
        <v>1.01</v>
      </c>
      <c r="D97" s="39" t="str">
        <f t="shared" si="3"/>
        <v>Freilos</v>
      </c>
      <c r="E97" s="40" t="s">
        <v>57</v>
      </c>
      <c r="F97" s="40"/>
      <c r="G97" s="26"/>
      <c r="H97" s="26"/>
      <c r="I97" s="27"/>
    </row>
    <row r="98" spans="2:9" ht="13.5" thickBot="1">
      <c r="B98" s="18">
        <v>90</v>
      </c>
      <c r="C98" s="38">
        <f ca="1" t="shared" si="2"/>
        <v>1.01</v>
      </c>
      <c r="D98" s="39" t="str">
        <f t="shared" si="3"/>
        <v>Freilos</v>
      </c>
      <c r="E98" s="40" t="s">
        <v>57</v>
      </c>
      <c r="F98" s="40"/>
      <c r="G98" s="26"/>
      <c r="H98" s="26"/>
      <c r="I98" s="27"/>
    </row>
    <row r="99" spans="2:9" ht="13.5" thickBot="1">
      <c r="B99" s="18">
        <v>91</v>
      </c>
      <c r="C99" s="38">
        <f ca="1" t="shared" si="2"/>
        <v>1.01</v>
      </c>
      <c r="D99" s="39" t="str">
        <f t="shared" si="3"/>
        <v>Freilos</v>
      </c>
      <c r="E99" s="40" t="s">
        <v>57</v>
      </c>
      <c r="F99" s="40"/>
      <c r="G99" s="26"/>
      <c r="H99" s="26"/>
      <c r="I99" s="27"/>
    </row>
    <row r="100" spans="2:9" ht="13.5" thickBot="1">
      <c r="B100" s="18">
        <v>92</v>
      </c>
      <c r="C100" s="38">
        <f ca="1" t="shared" si="2"/>
        <v>1.01</v>
      </c>
      <c r="D100" s="39" t="str">
        <f t="shared" si="3"/>
        <v>Freilos</v>
      </c>
      <c r="E100" s="40" t="s">
        <v>57</v>
      </c>
      <c r="F100" s="40"/>
      <c r="G100" s="26"/>
      <c r="H100" s="26"/>
      <c r="I100" s="27"/>
    </row>
    <row r="101" spans="2:9" ht="13.5" thickBot="1">
      <c r="B101" s="18">
        <v>93</v>
      </c>
      <c r="C101" s="38">
        <f ca="1" t="shared" si="2"/>
        <v>1.01</v>
      </c>
      <c r="D101" s="39" t="str">
        <f t="shared" si="3"/>
        <v>Freilos</v>
      </c>
      <c r="E101" s="40" t="s">
        <v>57</v>
      </c>
      <c r="F101" s="40"/>
      <c r="G101" s="26"/>
      <c r="H101" s="26"/>
      <c r="I101" s="27"/>
    </row>
    <row r="102" spans="2:9" ht="13.5" thickBot="1">
      <c r="B102" s="18">
        <v>94</v>
      </c>
      <c r="C102" s="38">
        <f ca="1" t="shared" si="2"/>
        <v>1.01</v>
      </c>
      <c r="D102" s="39" t="str">
        <f t="shared" si="3"/>
        <v>Freilos</v>
      </c>
      <c r="E102" s="40" t="s">
        <v>57</v>
      </c>
      <c r="F102" s="40"/>
      <c r="G102" s="26"/>
      <c r="H102" s="26"/>
      <c r="I102" s="27"/>
    </row>
    <row r="103" spans="2:9" ht="13.5" thickBot="1">
      <c r="B103" s="18">
        <v>95</v>
      </c>
      <c r="C103" s="38">
        <f ca="1" t="shared" si="2"/>
        <v>1.01</v>
      </c>
      <c r="D103" s="39" t="str">
        <f t="shared" si="3"/>
        <v>Freilos</v>
      </c>
      <c r="E103" s="40" t="s">
        <v>57</v>
      </c>
      <c r="F103" s="40"/>
      <c r="G103" s="26"/>
      <c r="H103" s="26"/>
      <c r="I103" s="27"/>
    </row>
    <row r="104" spans="2:9" ht="13.5" thickBot="1">
      <c r="B104" s="18">
        <v>96</v>
      </c>
      <c r="C104" s="38">
        <f ca="1" t="shared" si="2"/>
        <v>1.01</v>
      </c>
      <c r="D104" s="39" t="str">
        <f t="shared" si="3"/>
        <v>Freilos</v>
      </c>
      <c r="E104" s="40" t="s">
        <v>57</v>
      </c>
      <c r="F104" s="40"/>
      <c r="G104" s="26"/>
      <c r="H104" s="26"/>
      <c r="I104" s="27"/>
    </row>
    <row r="105" spans="2:9" ht="13.5" thickBot="1">
      <c r="B105" s="18">
        <v>97</v>
      </c>
      <c r="C105" s="38">
        <f ca="1" t="shared" si="2"/>
        <v>1.01</v>
      </c>
      <c r="D105" s="39" t="str">
        <f t="shared" si="3"/>
        <v>Freilos</v>
      </c>
      <c r="E105" s="40" t="s">
        <v>57</v>
      </c>
      <c r="F105" s="40"/>
      <c r="G105" s="26"/>
      <c r="H105" s="26"/>
      <c r="I105" s="27"/>
    </row>
    <row r="106" spans="2:9" ht="13.5" thickBot="1">
      <c r="B106" s="18">
        <v>98</v>
      </c>
      <c r="C106" s="38">
        <f ca="1" t="shared" si="2"/>
        <v>1.01</v>
      </c>
      <c r="D106" s="39" t="str">
        <f t="shared" si="3"/>
        <v>Freilos</v>
      </c>
      <c r="E106" s="40" t="s">
        <v>57</v>
      </c>
      <c r="F106" s="40"/>
      <c r="G106" s="26"/>
      <c r="H106" s="26"/>
      <c r="I106" s="27"/>
    </row>
    <row r="107" spans="2:9" ht="13.5" thickBot="1">
      <c r="B107" s="18">
        <v>99</v>
      </c>
      <c r="C107" s="38">
        <f ca="1" t="shared" si="2"/>
        <v>1.01</v>
      </c>
      <c r="D107" s="39" t="str">
        <f t="shared" si="3"/>
        <v>Freilos</v>
      </c>
      <c r="E107" s="40" t="s">
        <v>57</v>
      </c>
      <c r="F107" s="40"/>
      <c r="G107" s="26"/>
      <c r="H107" s="26"/>
      <c r="I107" s="27"/>
    </row>
    <row r="108" spans="2:9" ht="13.5" thickBot="1">
      <c r="B108" s="18">
        <v>100</v>
      </c>
      <c r="C108" s="38">
        <f ca="1" t="shared" si="2"/>
        <v>1.01</v>
      </c>
      <c r="D108" s="39" t="str">
        <f t="shared" si="3"/>
        <v>Freilos</v>
      </c>
      <c r="E108" s="40" t="s">
        <v>57</v>
      </c>
      <c r="F108" s="40"/>
      <c r="G108" s="26"/>
      <c r="H108" s="26"/>
      <c r="I108" s="27"/>
    </row>
    <row r="109" spans="2:9" ht="13.5" thickBot="1">
      <c r="B109" s="18">
        <v>101</v>
      </c>
      <c r="C109" s="38">
        <f ca="1" t="shared" si="2"/>
        <v>1.01</v>
      </c>
      <c r="D109" s="39" t="str">
        <f t="shared" si="3"/>
        <v>Freilos</v>
      </c>
      <c r="E109" s="40" t="s">
        <v>57</v>
      </c>
      <c r="F109" s="40"/>
      <c r="G109" s="26"/>
      <c r="H109" s="26"/>
      <c r="I109" s="27"/>
    </row>
    <row r="110" spans="2:9" ht="13.5" thickBot="1">
      <c r="B110" s="18">
        <v>102</v>
      </c>
      <c r="C110" s="38">
        <f ca="1" t="shared" si="2"/>
        <v>1.01</v>
      </c>
      <c r="D110" s="39" t="str">
        <f t="shared" si="3"/>
        <v>Freilos</v>
      </c>
      <c r="E110" s="40" t="s">
        <v>57</v>
      </c>
      <c r="F110" s="40"/>
      <c r="G110" s="26"/>
      <c r="H110" s="26"/>
      <c r="I110" s="27"/>
    </row>
    <row r="111" spans="2:9" ht="13.5" thickBot="1">
      <c r="B111" s="18">
        <v>103</v>
      </c>
      <c r="C111" s="38">
        <f ca="1" t="shared" si="2"/>
        <v>1.01</v>
      </c>
      <c r="D111" s="39" t="str">
        <f t="shared" si="3"/>
        <v>Freilos</v>
      </c>
      <c r="E111" s="40" t="s">
        <v>57</v>
      </c>
      <c r="F111" s="40"/>
      <c r="G111" s="26"/>
      <c r="H111" s="26"/>
      <c r="I111" s="27"/>
    </row>
    <row r="112" spans="2:9" ht="13.5" thickBot="1">
      <c r="B112" s="18">
        <v>104</v>
      </c>
      <c r="C112" s="38">
        <f ca="1" t="shared" si="2"/>
        <v>1.01</v>
      </c>
      <c r="D112" s="39" t="str">
        <f t="shared" si="3"/>
        <v>Freilos</v>
      </c>
      <c r="E112" s="40" t="s">
        <v>57</v>
      </c>
      <c r="F112" s="40"/>
      <c r="G112" s="26"/>
      <c r="H112" s="26"/>
      <c r="I112" s="27"/>
    </row>
    <row r="113" spans="2:9" ht="13.5" thickBot="1">
      <c r="B113" s="18">
        <v>105</v>
      </c>
      <c r="C113" s="38">
        <f ca="1" t="shared" si="2"/>
        <v>1.01</v>
      </c>
      <c r="D113" s="39" t="str">
        <f t="shared" si="3"/>
        <v>Freilos</v>
      </c>
      <c r="E113" s="40" t="s">
        <v>57</v>
      </c>
      <c r="F113" s="40"/>
      <c r="G113" s="26"/>
      <c r="H113" s="26"/>
      <c r="I113" s="27"/>
    </row>
    <row r="114" spans="2:9" ht="13.5" thickBot="1">
      <c r="B114" s="18">
        <v>106</v>
      </c>
      <c r="C114" s="38">
        <f ca="1" t="shared" si="2"/>
        <v>1.01</v>
      </c>
      <c r="D114" s="39" t="str">
        <f t="shared" si="3"/>
        <v>Freilos</v>
      </c>
      <c r="E114" s="40" t="s">
        <v>57</v>
      </c>
      <c r="F114" s="40"/>
      <c r="G114" s="26"/>
      <c r="H114" s="26"/>
      <c r="I114" s="27"/>
    </row>
    <row r="115" spans="2:9" ht="13.5" thickBot="1">
      <c r="B115" s="18">
        <v>107</v>
      </c>
      <c r="C115" s="38">
        <f ca="1" t="shared" si="2"/>
        <v>1.01</v>
      </c>
      <c r="D115" s="39" t="str">
        <f t="shared" si="3"/>
        <v>Freilos</v>
      </c>
      <c r="E115" s="40" t="s">
        <v>57</v>
      </c>
      <c r="F115" s="40"/>
      <c r="G115" s="26"/>
      <c r="H115" s="26"/>
      <c r="I115" s="27"/>
    </row>
    <row r="116" spans="2:9" ht="13.5" thickBot="1">
      <c r="B116" s="18">
        <v>108</v>
      </c>
      <c r="C116" s="38">
        <f ca="1" t="shared" si="2"/>
        <v>1.01</v>
      </c>
      <c r="D116" s="39" t="str">
        <f t="shared" si="3"/>
        <v>Freilos</v>
      </c>
      <c r="E116" s="40" t="s">
        <v>57</v>
      </c>
      <c r="F116" s="40"/>
      <c r="G116" s="26"/>
      <c r="H116" s="26"/>
      <c r="I116" s="27"/>
    </row>
    <row r="117" spans="2:9" ht="13.5" thickBot="1">
      <c r="B117" s="18">
        <v>109</v>
      </c>
      <c r="C117" s="38">
        <f ca="1" t="shared" si="2"/>
        <v>1.01</v>
      </c>
      <c r="D117" s="39" t="str">
        <f t="shared" si="3"/>
        <v>Freilos</v>
      </c>
      <c r="E117" s="40" t="s">
        <v>57</v>
      </c>
      <c r="F117" s="40"/>
      <c r="G117" s="26"/>
      <c r="H117" s="26"/>
      <c r="I117" s="27"/>
    </row>
    <row r="118" spans="2:9" ht="13.5" thickBot="1">
      <c r="B118" s="18">
        <v>110</v>
      </c>
      <c r="C118" s="38">
        <f ca="1" t="shared" si="2"/>
        <v>1.01</v>
      </c>
      <c r="D118" s="39" t="str">
        <f t="shared" si="3"/>
        <v>Freilos</v>
      </c>
      <c r="E118" s="40" t="s">
        <v>57</v>
      </c>
      <c r="F118" s="40"/>
      <c r="G118" s="26"/>
      <c r="H118" s="26"/>
      <c r="I118" s="27"/>
    </row>
    <row r="119" spans="2:9" ht="13.5" thickBot="1">
      <c r="B119" s="18">
        <v>111</v>
      </c>
      <c r="C119" s="38">
        <f ca="1" t="shared" si="2"/>
        <v>1.01</v>
      </c>
      <c r="D119" s="39" t="str">
        <f t="shared" si="3"/>
        <v>Freilos</v>
      </c>
      <c r="E119" s="40" t="s">
        <v>57</v>
      </c>
      <c r="F119" s="40"/>
      <c r="G119" s="26"/>
      <c r="H119" s="26"/>
      <c r="I119" s="27"/>
    </row>
    <row r="120" spans="2:9" ht="13.5" thickBot="1">
      <c r="B120" s="18">
        <v>112</v>
      </c>
      <c r="C120" s="38">
        <f ca="1" t="shared" si="2"/>
        <v>1.01</v>
      </c>
      <c r="D120" s="39" t="str">
        <f t="shared" si="3"/>
        <v>Freilos</v>
      </c>
      <c r="E120" s="40" t="s">
        <v>57</v>
      </c>
      <c r="F120" s="40"/>
      <c r="G120" s="26"/>
      <c r="H120" s="26"/>
      <c r="I120" s="27"/>
    </row>
    <row r="121" spans="2:9" ht="13.5" thickBot="1">
      <c r="B121" s="18">
        <v>113</v>
      </c>
      <c r="C121" s="38">
        <f ca="1" t="shared" si="2"/>
        <v>1.01</v>
      </c>
      <c r="D121" s="39" t="str">
        <f t="shared" si="3"/>
        <v>Freilos</v>
      </c>
      <c r="E121" s="40" t="s">
        <v>57</v>
      </c>
      <c r="F121" s="40"/>
      <c r="G121" s="26"/>
      <c r="H121" s="26"/>
      <c r="I121" s="27"/>
    </row>
    <row r="122" spans="2:9" ht="13.5" thickBot="1">
      <c r="B122" s="18">
        <v>114</v>
      </c>
      <c r="C122" s="38">
        <f ca="1" t="shared" si="2"/>
        <v>1.01</v>
      </c>
      <c r="D122" s="39" t="str">
        <f t="shared" si="3"/>
        <v>Freilos</v>
      </c>
      <c r="E122" s="40" t="s">
        <v>57</v>
      </c>
      <c r="F122" s="40"/>
      <c r="G122" s="26"/>
      <c r="H122" s="26"/>
      <c r="I122" s="27"/>
    </row>
    <row r="123" spans="2:9" ht="13.5" thickBot="1">
      <c r="B123" s="18">
        <v>115</v>
      </c>
      <c r="C123" s="38">
        <f ca="1" t="shared" si="2"/>
        <v>1.01</v>
      </c>
      <c r="D123" s="39" t="str">
        <f t="shared" si="3"/>
        <v>Freilos</v>
      </c>
      <c r="E123" s="40" t="s">
        <v>57</v>
      </c>
      <c r="F123" s="40"/>
      <c r="G123" s="26"/>
      <c r="H123" s="26"/>
      <c r="I123" s="27"/>
    </row>
    <row r="124" spans="2:9" ht="13.5" thickBot="1">
      <c r="B124" s="18">
        <v>116</v>
      </c>
      <c r="C124" s="38">
        <f ca="1" t="shared" si="2"/>
        <v>1.01</v>
      </c>
      <c r="D124" s="39" t="str">
        <f t="shared" si="3"/>
        <v>Freilos</v>
      </c>
      <c r="E124" s="40" t="s">
        <v>57</v>
      </c>
      <c r="F124" s="40"/>
      <c r="G124" s="26"/>
      <c r="H124" s="26"/>
      <c r="I124" s="27"/>
    </row>
    <row r="125" spans="2:9" ht="13.5" thickBot="1">
      <c r="B125" s="18">
        <v>117</v>
      </c>
      <c r="C125" s="38">
        <f ca="1" t="shared" si="2"/>
        <v>1.01</v>
      </c>
      <c r="D125" s="39" t="str">
        <f t="shared" si="3"/>
        <v>Freilos</v>
      </c>
      <c r="E125" s="40" t="s">
        <v>57</v>
      </c>
      <c r="F125" s="40"/>
      <c r="G125" s="26"/>
      <c r="H125" s="26"/>
      <c r="I125" s="27"/>
    </row>
    <row r="126" spans="2:9" ht="13.5" thickBot="1">
      <c r="B126" s="18">
        <v>118</v>
      </c>
      <c r="C126" s="38">
        <f ca="1" t="shared" si="2"/>
        <v>1.01</v>
      </c>
      <c r="D126" s="39" t="str">
        <f t="shared" si="3"/>
        <v>Freilos</v>
      </c>
      <c r="E126" s="40" t="s">
        <v>57</v>
      </c>
      <c r="F126" s="40"/>
      <c r="G126" s="26"/>
      <c r="H126" s="26"/>
      <c r="I126" s="27"/>
    </row>
    <row r="127" spans="2:9" ht="13.5" thickBot="1">
      <c r="B127" s="18">
        <v>119</v>
      </c>
      <c r="C127" s="38">
        <f ca="1" t="shared" si="2"/>
        <v>1.01</v>
      </c>
      <c r="D127" s="39" t="str">
        <f t="shared" si="3"/>
        <v>Freilos</v>
      </c>
      <c r="E127" s="40" t="s">
        <v>57</v>
      </c>
      <c r="F127" s="40"/>
      <c r="G127" s="26"/>
      <c r="H127" s="26"/>
      <c r="I127" s="27"/>
    </row>
    <row r="128" spans="2:9" ht="13.5" thickBot="1">
      <c r="B128" s="18">
        <v>120</v>
      </c>
      <c r="C128" s="38">
        <f ca="1" t="shared" si="2"/>
        <v>1.01</v>
      </c>
      <c r="D128" s="39" t="str">
        <f t="shared" si="3"/>
        <v>Freilos</v>
      </c>
      <c r="E128" s="40" t="s">
        <v>57</v>
      </c>
      <c r="F128" s="40"/>
      <c r="G128" s="26"/>
      <c r="H128" s="26"/>
      <c r="I128" s="27"/>
    </row>
    <row r="129" spans="2:9" ht="13.5" thickBot="1">
      <c r="B129" s="18">
        <v>121</v>
      </c>
      <c r="C129" s="38">
        <f ca="1" t="shared" si="2"/>
        <v>1.01</v>
      </c>
      <c r="D129" s="39" t="str">
        <f t="shared" si="3"/>
        <v>Freilos</v>
      </c>
      <c r="E129" s="40" t="s">
        <v>57</v>
      </c>
      <c r="F129" s="40"/>
      <c r="G129" s="26"/>
      <c r="H129" s="26"/>
      <c r="I129" s="27"/>
    </row>
    <row r="130" spans="2:9" ht="13.5" thickBot="1">
      <c r="B130" s="18">
        <v>122</v>
      </c>
      <c r="C130" s="38">
        <f ca="1" t="shared" si="2"/>
        <v>1.01</v>
      </c>
      <c r="D130" s="39" t="str">
        <f t="shared" si="3"/>
        <v>Freilos</v>
      </c>
      <c r="E130" s="40" t="s">
        <v>57</v>
      </c>
      <c r="F130" s="40"/>
      <c r="G130" s="26"/>
      <c r="H130" s="26"/>
      <c r="I130" s="27"/>
    </row>
    <row r="131" spans="2:9" ht="13.5" thickBot="1">
      <c r="B131" s="18">
        <v>123</v>
      </c>
      <c r="C131" s="38">
        <f ca="1" t="shared" si="2"/>
        <v>1.01</v>
      </c>
      <c r="D131" s="39" t="str">
        <f t="shared" si="3"/>
        <v>Freilos</v>
      </c>
      <c r="E131" s="40" t="s">
        <v>57</v>
      </c>
      <c r="F131" s="40"/>
      <c r="G131" s="26"/>
      <c r="H131" s="26"/>
      <c r="I131" s="27"/>
    </row>
    <row r="132" spans="2:9" ht="13.5" thickBot="1">
      <c r="B132" s="18">
        <v>124</v>
      </c>
      <c r="C132" s="38">
        <f ca="1" t="shared" si="2"/>
        <v>1.01</v>
      </c>
      <c r="D132" s="39" t="str">
        <f t="shared" si="3"/>
        <v>Freilos</v>
      </c>
      <c r="E132" s="40" t="s">
        <v>57</v>
      </c>
      <c r="F132" s="40"/>
      <c r="G132" s="26"/>
      <c r="H132" s="26"/>
      <c r="I132" s="27"/>
    </row>
    <row r="133" spans="2:9" ht="13.5" thickBot="1">
      <c r="B133" s="18">
        <v>125</v>
      </c>
      <c r="C133" s="38">
        <f ca="1" t="shared" si="2"/>
        <v>1.01</v>
      </c>
      <c r="D133" s="39" t="str">
        <f t="shared" si="3"/>
        <v>Freilos</v>
      </c>
      <c r="E133" s="40" t="s">
        <v>57</v>
      </c>
      <c r="F133" s="40"/>
      <c r="G133" s="26"/>
      <c r="H133" s="26"/>
      <c r="I133" s="27"/>
    </row>
    <row r="134" spans="2:9" ht="13.5" thickBot="1">
      <c r="B134" s="18">
        <v>126</v>
      </c>
      <c r="C134" s="38">
        <f ca="1" t="shared" si="2"/>
        <v>1.01</v>
      </c>
      <c r="D134" s="39" t="str">
        <f t="shared" si="3"/>
        <v>Freilos</v>
      </c>
      <c r="E134" s="40" t="s">
        <v>57</v>
      </c>
      <c r="F134" s="40"/>
      <c r="G134" s="26"/>
      <c r="H134" s="26"/>
      <c r="I134" s="27"/>
    </row>
    <row r="135" spans="2:9" ht="13.5" thickBot="1">
      <c r="B135" s="18">
        <v>127</v>
      </c>
      <c r="C135" s="38">
        <f ca="1" t="shared" si="2"/>
        <v>1.01</v>
      </c>
      <c r="D135" s="39" t="str">
        <f t="shared" si="3"/>
        <v>Freilos</v>
      </c>
      <c r="E135" s="40" t="s">
        <v>57</v>
      </c>
      <c r="F135" s="40"/>
      <c r="G135" s="26"/>
      <c r="H135" s="26"/>
      <c r="I135" s="27"/>
    </row>
    <row r="136" spans="2:9" ht="12.75">
      <c r="B136" s="18">
        <v>128</v>
      </c>
      <c r="C136" s="38">
        <f ca="1" t="shared" si="2"/>
        <v>1.01</v>
      </c>
      <c r="D136" s="39" t="str">
        <f t="shared" si="3"/>
        <v>Freilos</v>
      </c>
      <c r="E136" s="40" t="s">
        <v>57</v>
      </c>
      <c r="F136" s="40"/>
      <c r="G136" s="26"/>
      <c r="H136" s="26"/>
      <c r="I136" s="27"/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B2:AR259"/>
  <sheetViews>
    <sheetView showGridLines="0" showRowColHeaders="0" zoomScale="125" zoomScaleNormal="125" workbookViewId="0" topLeftCell="A1">
      <selection activeCell="M19" sqref="M19"/>
    </sheetView>
  </sheetViews>
  <sheetFormatPr defaultColWidth="11.421875" defaultRowHeight="12.75"/>
  <cols>
    <col min="1" max="1" width="9.421875" style="48" customWidth="1"/>
    <col min="2" max="2" width="5.7109375" style="48" bestFit="1" customWidth="1"/>
    <col min="3" max="3" width="3.140625" style="49" bestFit="1" customWidth="1"/>
    <col min="4" max="4" width="13.57421875" style="48" customWidth="1"/>
    <col min="5" max="5" width="13.7109375" style="48" customWidth="1"/>
    <col min="6" max="7" width="3.140625" style="49" customWidth="1"/>
    <col min="8" max="9" width="4.7109375" style="49" hidden="1" customWidth="1"/>
    <col min="10" max="10" width="4.57421875" style="49" hidden="1" customWidth="1"/>
    <col min="11" max="11" width="5.00390625" style="49" hidden="1" customWidth="1"/>
    <col min="12" max="12" width="3.140625" style="49" customWidth="1"/>
    <col min="13" max="13" width="14.7109375" style="50" customWidth="1"/>
    <col min="14" max="15" width="4.421875" style="48" hidden="1" customWidth="1"/>
    <col min="16" max="17" width="4.28125" style="48" hidden="1" customWidth="1"/>
    <col min="18" max="19" width="4.421875" style="48" hidden="1" customWidth="1"/>
    <col min="20" max="21" width="3.28125" style="48" hidden="1" customWidth="1"/>
    <col min="22" max="22" width="6.140625" style="48" hidden="1" customWidth="1"/>
    <col min="23" max="23" width="15.28125" style="48" hidden="1" customWidth="1"/>
    <col min="24" max="24" width="3.8515625" style="48" hidden="1" customWidth="1"/>
    <col min="25" max="25" width="2.28125" style="48" hidden="1" customWidth="1"/>
    <col min="26" max="26" width="3.7109375" style="48" hidden="1" customWidth="1"/>
    <col min="27" max="27" width="3.57421875" style="48" hidden="1" customWidth="1"/>
    <col min="28" max="28" width="4.28125" style="48" hidden="1" customWidth="1"/>
    <col min="29" max="29" width="4.7109375" style="48" hidden="1" customWidth="1"/>
    <col min="30" max="30" width="4.57421875" style="48" hidden="1" customWidth="1"/>
    <col min="31" max="32" width="5.57421875" style="48" hidden="1" customWidth="1"/>
    <col min="33" max="34" width="5.57421875" style="48" customWidth="1"/>
    <col min="35" max="35" width="3.57421875" style="48" customWidth="1"/>
    <col min="36" max="36" width="2.421875" style="48" customWidth="1"/>
    <col min="37" max="38" width="2.57421875" style="48" customWidth="1"/>
    <col min="39" max="39" width="2.28125" style="48" customWidth="1"/>
    <col min="40" max="57" width="2.00390625" style="48" customWidth="1"/>
    <col min="58" max="58" width="1.8515625" style="48" customWidth="1"/>
    <col min="59" max="61" width="1.7109375" style="48" customWidth="1"/>
    <col min="62" max="72" width="2.00390625" style="48" customWidth="1"/>
    <col min="73" max="78" width="3.00390625" style="48" bestFit="1" customWidth="1"/>
    <col min="79" max="16384" width="11.421875" style="48" customWidth="1"/>
  </cols>
  <sheetData>
    <row r="1" ht="10.5" thickBot="1"/>
    <row r="2" spans="3:34" ht="10.5" thickBot="1">
      <c r="C2" s="51"/>
      <c r="D2" s="52" t="s">
        <v>10</v>
      </c>
      <c r="E2" s="53" t="s">
        <v>11</v>
      </c>
      <c r="F2" s="54" t="s">
        <v>12</v>
      </c>
      <c r="G2" s="55" t="s">
        <v>13</v>
      </c>
      <c r="H2" s="56" t="s">
        <v>14</v>
      </c>
      <c r="I2" s="56" t="s">
        <v>15</v>
      </c>
      <c r="J2" s="56" t="s">
        <v>16</v>
      </c>
      <c r="K2" s="57" t="s">
        <v>17</v>
      </c>
      <c r="L2" s="58" t="s">
        <v>37</v>
      </c>
      <c r="M2" s="59"/>
      <c r="N2" s="48" t="s">
        <v>18</v>
      </c>
      <c r="O2" s="48" t="s">
        <v>18</v>
      </c>
      <c r="P2" s="48" t="s">
        <v>19</v>
      </c>
      <c r="Q2" s="48" t="s">
        <v>20</v>
      </c>
      <c r="R2" s="48" t="s">
        <v>21</v>
      </c>
      <c r="S2" s="48" t="s">
        <v>22</v>
      </c>
      <c r="T2" s="48" t="s">
        <v>23</v>
      </c>
      <c r="U2" s="48" t="s">
        <v>24</v>
      </c>
      <c r="V2" s="60">
        <f>IF(Spielereingabe!F71="","",63)</f>
      </c>
      <c r="W2" s="61">
        <f>IF(SP128!V2="","",Spielereingabe!F71)</f>
      </c>
      <c r="X2" s="61">
        <f>IF(SP128!V2="","",Spielereingabe!G71)</f>
      </c>
      <c r="Y2" s="61">
        <f>IF(SP128!V2="","",Spielereingabe!H71)</f>
      </c>
      <c r="Z2" s="61">
        <f>IF(SP128!V2="","",Spielereingabe!I71)</f>
      </c>
      <c r="AA2" s="62">
        <f>IF(SP128!V2="","",SP128!X65)</f>
      </c>
      <c r="AB2" s="62">
        <f>IF(SP128!V2="","",SP128!Z65)</f>
      </c>
      <c r="AC2" s="62">
        <f>IF(SP128!V2="","",SP128!AA65)</f>
      </c>
      <c r="AD2" s="62">
        <f>IF(SP128!V2="","",SP128!AC65)</f>
      </c>
      <c r="AE2" s="62">
        <f>IF(SP128!V2="","",IF($AE$131="VSp",SP128!AD65,SP128!#REF!))</f>
      </c>
      <c r="AG2" s="236"/>
      <c r="AH2" s="237"/>
    </row>
    <row r="3" spans="2:34" ht="10.5" thickBot="1">
      <c r="B3" s="63" t="s">
        <v>47</v>
      </c>
      <c r="C3" s="64">
        <v>1</v>
      </c>
      <c r="D3" s="65" t="str">
        <f>IF(W3="Freilos","Freilos",IF(W3="","Spieler 1",W3))</f>
        <v>Spieler 1</v>
      </c>
      <c r="E3" s="66" t="str">
        <f>IF(W67="Freilos","Freilos",IF(W67="","Spieler 65",W67))</f>
        <v>Spieler 65</v>
      </c>
      <c r="F3" s="67"/>
      <c r="G3" s="68"/>
      <c r="H3" s="69"/>
      <c r="I3" s="69"/>
      <c r="J3" s="69"/>
      <c r="K3" s="70"/>
      <c r="L3" s="71"/>
      <c r="N3" s="48">
        <f aca="true" t="shared" si="0" ref="N3:N66">F3+G3</f>
        <v>0</v>
      </c>
      <c r="O3" s="48">
        <f aca="true" t="shared" si="1" ref="O3:O66">N3</f>
        <v>0</v>
      </c>
      <c r="P3" s="48">
        <f aca="true" t="shared" si="2" ref="P3:P66">IF(D3="Freilos",0,IF(F3&lt;G3,1,IF(F3&gt;G3,1,0)))</f>
        <v>0</v>
      </c>
      <c r="Q3" s="48">
        <f aca="true" t="shared" si="3" ref="Q3:Q66">IF(D3="Freilos",0,IF(F3&lt;G3,1,IF(F3&gt;G3,1,0)))</f>
        <v>0</v>
      </c>
      <c r="R3" s="48">
        <f aca="true" t="shared" si="4" ref="R3:R66">IF(D3="Freilos",0,IF(F3&gt;G3,1,0))</f>
        <v>0</v>
      </c>
      <c r="S3" s="48">
        <f aca="true" t="shared" si="5" ref="S3:S66">IF(D3="Freilos",0,IF(G3&gt;F3,1,0))</f>
        <v>0</v>
      </c>
      <c r="T3" s="72">
        <f aca="true" t="shared" si="6" ref="T3:T66">IF(E3="Freilos",3,IF(F3&gt;G3,3,0))</f>
        <v>0</v>
      </c>
      <c r="U3" s="72">
        <f aca="true" t="shared" si="7" ref="U3:U66">IF(D3="Freilos",3,IF(G3&gt;F3,3,0))</f>
        <v>0</v>
      </c>
      <c r="V3" s="48">
        <v>1</v>
      </c>
      <c r="W3" s="48" t="str">
        <f>IF(Spielereingabe!F9="","Spieler 1",Spielereingabe!F9)</f>
        <v>Spieler 1</v>
      </c>
      <c r="X3" s="48">
        <f aca="true" t="shared" si="8" ref="X3:X34">IF(W3="Freilos",0,SUMIF($D$3:$E$257,W3,$T$3:$U$257))</f>
        <v>0</v>
      </c>
      <c r="Y3" s="48">
        <f aca="true" t="shared" si="9" ref="Y3:Y34">SUMIF($D$3:$E$257,W3,$P$3:$Q$257)</f>
        <v>0</v>
      </c>
      <c r="Z3" s="48">
        <f aca="true" t="shared" si="10" ref="Z3:Z34">SUMIF($D$3:$E$257,W3,$R$3:$S$257)</f>
        <v>0</v>
      </c>
      <c r="AA3" s="48">
        <f>Y3-Z3</f>
        <v>0</v>
      </c>
      <c r="AB3" s="48">
        <f aca="true" t="shared" si="11" ref="AB3:AB34">SUMIF($D$3:$E$257,W3,$N$3:$O$257)</f>
        <v>0</v>
      </c>
      <c r="AC3" s="48">
        <f aca="true" t="shared" si="12" ref="AC3:AC34">SUMIF($D$3:$E$257,W3,$F$3:$G$257)</f>
        <v>0</v>
      </c>
      <c r="AD3" s="48">
        <f>AB3-AC3</f>
        <v>0</v>
      </c>
      <c r="AE3" s="73">
        <f>IF(AD3&gt;0,AC3/AD3,AC3*1.000000001)</f>
        <v>0</v>
      </c>
      <c r="AG3" s="238"/>
      <c r="AH3" s="239"/>
    </row>
    <row r="4" spans="3:34" ht="10.5" thickBot="1">
      <c r="C4" s="74">
        <v>2</v>
      </c>
      <c r="D4" s="75" t="str">
        <f>IF(W35="Freilos","Freilos",IF(W35="","Spieler 33",W35))</f>
        <v>Spieler 33</v>
      </c>
      <c r="E4" s="76" t="str">
        <f>IF(W99="Freilos","Freilos",IF(W99="","Spieler 97",W99))</f>
        <v>Spieler 97</v>
      </c>
      <c r="F4" s="77"/>
      <c r="G4" s="78"/>
      <c r="H4" s="79"/>
      <c r="I4" s="79"/>
      <c r="J4" s="79"/>
      <c r="K4" s="80"/>
      <c r="L4" s="71"/>
      <c r="N4" s="48">
        <f t="shared" si="0"/>
        <v>0</v>
      </c>
      <c r="O4" s="48">
        <f t="shared" si="1"/>
        <v>0</v>
      </c>
      <c r="P4" s="48">
        <f t="shared" si="2"/>
        <v>0</v>
      </c>
      <c r="Q4" s="48">
        <f t="shared" si="3"/>
        <v>0</v>
      </c>
      <c r="R4" s="48">
        <f t="shared" si="4"/>
        <v>0</v>
      </c>
      <c r="S4" s="48">
        <f t="shared" si="5"/>
        <v>0</v>
      </c>
      <c r="T4" s="72">
        <f t="shared" si="6"/>
        <v>0</v>
      </c>
      <c r="U4" s="72">
        <f t="shared" si="7"/>
        <v>0</v>
      </c>
      <c r="V4" s="48">
        <v>2</v>
      </c>
      <c r="W4" s="48" t="str">
        <f>IF(Spielereingabe!F10="","Spieler 2",Spielereingabe!F10)</f>
        <v>Spieler 2</v>
      </c>
      <c r="X4" s="48">
        <f t="shared" si="8"/>
        <v>0</v>
      </c>
      <c r="Y4" s="48">
        <f t="shared" si="9"/>
        <v>0</v>
      </c>
      <c r="Z4" s="48">
        <f t="shared" si="10"/>
        <v>0</v>
      </c>
      <c r="AA4" s="48">
        <f aca="true" t="shared" si="13" ref="AA4:AA67">Y4-Z4</f>
        <v>0</v>
      </c>
      <c r="AB4" s="48">
        <f t="shared" si="11"/>
        <v>0</v>
      </c>
      <c r="AC4" s="48">
        <f t="shared" si="12"/>
        <v>0</v>
      </c>
      <c r="AD4" s="48">
        <f aca="true" t="shared" si="14" ref="AD4:AD67">AB4-AC4</f>
        <v>0</v>
      </c>
      <c r="AE4" s="73">
        <f aca="true" t="shared" si="15" ref="AE4:AE67">IF(AD4&gt;0,AC4/AD4,AC4*1.000000001)</f>
        <v>0</v>
      </c>
      <c r="AG4" s="238"/>
      <c r="AH4" s="239"/>
    </row>
    <row r="5" spans="3:34" ht="10.5" thickBot="1">
      <c r="C5" s="74">
        <v>3</v>
      </c>
      <c r="D5" s="75" t="str">
        <f>IF(W19="Freilos","Freilos",IF(W19="","Spieler 17",W19))</f>
        <v>Spieler 17</v>
      </c>
      <c r="E5" s="76" t="str">
        <f>IF(W83="Freilos","Freilos",IF(W83="","Spieler 81",W83))</f>
        <v>Spieler 81</v>
      </c>
      <c r="F5" s="77"/>
      <c r="G5" s="78"/>
      <c r="H5" s="79"/>
      <c r="I5" s="79"/>
      <c r="J5" s="79"/>
      <c r="K5" s="80"/>
      <c r="L5" s="71"/>
      <c r="N5" s="48">
        <f t="shared" si="0"/>
        <v>0</v>
      </c>
      <c r="O5" s="48">
        <f t="shared" si="1"/>
        <v>0</v>
      </c>
      <c r="P5" s="48">
        <f t="shared" si="2"/>
        <v>0</v>
      </c>
      <c r="Q5" s="48">
        <f t="shared" si="3"/>
        <v>0</v>
      </c>
      <c r="R5" s="48">
        <f t="shared" si="4"/>
        <v>0</v>
      </c>
      <c r="S5" s="48">
        <f t="shared" si="5"/>
        <v>0</v>
      </c>
      <c r="T5" s="72">
        <f t="shared" si="6"/>
        <v>0</v>
      </c>
      <c r="U5" s="72">
        <f t="shared" si="7"/>
        <v>0</v>
      </c>
      <c r="V5" s="48">
        <v>3</v>
      </c>
      <c r="W5" s="48" t="str">
        <f>IF(Spielereingabe!F11="","Spieler 3",Spielereingabe!F11)</f>
        <v>Spieler 3</v>
      </c>
      <c r="X5" s="48">
        <f t="shared" si="8"/>
        <v>0</v>
      </c>
      <c r="Y5" s="48">
        <f t="shared" si="9"/>
        <v>0</v>
      </c>
      <c r="Z5" s="48">
        <f t="shared" si="10"/>
        <v>0</v>
      </c>
      <c r="AA5" s="48">
        <f t="shared" si="13"/>
        <v>0</v>
      </c>
      <c r="AB5" s="48">
        <f t="shared" si="11"/>
        <v>0</v>
      </c>
      <c r="AC5" s="48">
        <f t="shared" si="12"/>
        <v>0</v>
      </c>
      <c r="AD5" s="48">
        <f t="shared" si="14"/>
        <v>0</v>
      </c>
      <c r="AE5" s="73">
        <f t="shared" si="15"/>
        <v>0</v>
      </c>
      <c r="AG5" s="238"/>
      <c r="AH5" s="239"/>
    </row>
    <row r="6" spans="3:34" ht="10.5" thickBot="1">
      <c r="C6" s="74">
        <v>4</v>
      </c>
      <c r="D6" s="75" t="str">
        <f>IF(W51="Freilos","Freilos",IF(W51="","Spieler 49",W51))</f>
        <v>Spieler 49</v>
      </c>
      <c r="E6" s="76" t="str">
        <f>IF(W115="Freilos","Freilos",IF(W115="","Spieler 113",W115))</f>
        <v>Spieler 113</v>
      </c>
      <c r="F6" s="77"/>
      <c r="G6" s="78"/>
      <c r="H6" s="79"/>
      <c r="I6" s="79"/>
      <c r="J6" s="79"/>
      <c r="K6" s="80"/>
      <c r="L6" s="71"/>
      <c r="N6" s="48">
        <f t="shared" si="0"/>
        <v>0</v>
      </c>
      <c r="O6" s="48">
        <f t="shared" si="1"/>
        <v>0</v>
      </c>
      <c r="P6" s="48">
        <f t="shared" si="2"/>
        <v>0</v>
      </c>
      <c r="Q6" s="48">
        <f t="shared" si="3"/>
        <v>0</v>
      </c>
      <c r="R6" s="48">
        <f t="shared" si="4"/>
        <v>0</v>
      </c>
      <c r="S6" s="48">
        <f t="shared" si="5"/>
        <v>0</v>
      </c>
      <c r="T6" s="72">
        <f t="shared" si="6"/>
        <v>0</v>
      </c>
      <c r="U6" s="72">
        <f t="shared" si="7"/>
        <v>0</v>
      </c>
      <c r="V6" s="48">
        <v>4</v>
      </c>
      <c r="W6" s="48" t="str">
        <f>IF(Spielereingabe!F12="","Spieler 4",Spielereingabe!F12)</f>
        <v>Spieler 4</v>
      </c>
      <c r="X6" s="48">
        <f t="shared" si="8"/>
        <v>0</v>
      </c>
      <c r="Y6" s="48">
        <f t="shared" si="9"/>
        <v>0</v>
      </c>
      <c r="Z6" s="48">
        <f t="shared" si="10"/>
        <v>0</v>
      </c>
      <c r="AA6" s="48">
        <f t="shared" si="13"/>
        <v>0</v>
      </c>
      <c r="AB6" s="48">
        <f t="shared" si="11"/>
        <v>0</v>
      </c>
      <c r="AC6" s="48">
        <f t="shared" si="12"/>
        <v>0</v>
      </c>
      <c r="AD6" s="48">
        <f t="shared" si="14"/>
        <v>0</v>
      </c>
      <c r="AE6" s="73">
        <f t="shared" si="15"/>
        <v>0</v>
      </c>
      <c r="AG6" s="238"/>
      <c r="AH6" s="239"/>
    </row>
    <row r="7" spans="3:34" ht="10.5" thickBot="1">
      <c r="C7" s="74">
        <v>5</v>
      </c>
      <c r="D7" s="75" t="str">
        <f>IF(W11="Freilos","Freilos",IF(W11="","Spieler 9",W11))</f>
        <v>Spieler 9</v>
      </c>
      <c r="E7" s="76" t="str">
        <f>IF(W75="Freilos","Freilos",IF(W75="","Spieler 73",W75))</f>
        <v>Spieler 73</v>
      </c>
      <c r="F7" s="77"/>
      <c r="G7" s="78"/>
      <c r="H7" s="79"/>
      <c r="I7" s="79"/>
      <c r="J7" s="79"/>
      <c r="K7" s="80"/>
      <c r="L7" s="71"/>
      <c r="N7" s="48">
        <f t="shared" si="0"/>
        <v>0</v>
      </c>
      <c r="O7" s="48">
        <f t="shared" si="1"/>
        <v>0</v>
      </c>
      <c r="P7" s="48">
        <f t="shared" si="2"/>
        <v>0</v>
      </c>
      <c r="Q7" s="48">
        <f t="shared" si="3"/>
        <v>0</v>
      </c>
      <c r="R7" s="48">
        <f t="shared" si="4"/>
        <v>0</v>
      </c>
      <c r="S7" s="48">
        <f t="shared" si="5"/>
        <v>0</v>
      </c>
      <c r="T7" s="72">
        <f t="shared" si="6"/>
        <v>0</v>
      </c>
      <c r="U7" s="72">
        <f t="shared" si="7"/>
        <v>0</v>
      </c>
      <c r="V7" s="48">
        <v>5</v>
      </c>
      <c r="W7" s="48" t="str">
        <f>IF(Spielereingabe!F13="","Spieler 5",Spielereingabe!F13)</f>
        <v>Spieler 5</v>
      </c>
      <c r="X7" s="48">
        <f t="shared" si="8"/>
        <v>0</v>
      </c>
      <c r="Y7" s="48">
        <f t="shared" si="9"/>
        <v>0</v>
      </c>
      <c r="Z7" s="48">
        <f t="shared" si="10"/>
        <v>0</v>
      </c>
      <c r="AA7" s="48">
        <f t="shared" si="13"/>
        <v>0</v>
      </c>
      <c r="AB7" s="48">
        <f t="shared" si="11"/>
        <v>0</v>
      </c>
      <c r="AC7" s="48">
        <f t="shared" si="12"/>
        <v>0</v>
      </c>
      <c r="AD7" s="48">
        <f t="shared" si="14"/>
        <v>0</v>
      </c>
      <c r="AE7" s="73">
        <f t="shared" si="15"/>
        <v>0</v>
      </c>
      <c r="AG7" s="238"/>
      <c r="AH7" s="239"/>
    </row>
    <row r="8" spans="3:34" ht="10.5" thickBot="1">
      <c r="C8" s="74">
        <v>6</v>
      </c>
      <c r="D8" s="75" t="str">
        <f>IF(W43="Freilos","Freilos",IF(W43="","Spieler 41",W43))</f>
        <v>Spieler 41</v>
      </c>
      <c r="E8" s="76" t="str">
        <f>IF(W107="Freilos","Freilos",IF(W107="","Spieler 105",W107))</f>
        <v>Spieler 105</v>
      </c>
      <c r="F8" s="77"/>
      <c r="G8" s="78"/>
      <c r="H8" s="79"/>
      <c r="I8" s="79"/>
      <c r="J8" s="79"/>
      <c r="K8" s="80"/>
      <c r="L8" s="71"/>
      <c r="N8" s="48">
        <f t="shared" si="0"/>
        <v>0</v>
      </c>
      <c r="O8" s="48">
        <f t="shared" si="1"/>
        <v>0</v>
      </c>
      <c r="P8" s="48">
        <f t="shared" si="2"/>
        <v>0</v>
      </c>
      <c r="Q8" s="48">
        <f t="shared" si="3"/>
        <v>0</v>
      </c>
      <c r="R8" s="48">
        <f t="shared" si="4"/>
        <v>0</v>
      </c>
      <c r="S8" s="48">
        <f t="shared" si="5"/>
        <v>0</v>
      </c>
      <c r="T8" s="72">
        <f t="shared" si="6"/>
        <v>0</v>
      </c>
      <c r="U8" s="72">
        <f t="shared" si="7"/>
        <v>0</v>
      </c>
      <c r="V8" s="48">
        <v>6</v>
      </c>
      <c r="W8" s="48" t="str">
        <f>IF(Spielereingabe!F14="","Spieler 6",Spielereingabe!F14)</f>
        <v>Spieler 6</v>
      </c>
      <c r="X8" s="48">
        <f t="shared" si="8"/>
        <v>0</v>
      </c>
      <c r="Y8" s="48">
        <f t="shared" si="9"/>
        <v>0</v>
      </c>
      <c r="Z8" s="48">
        <f t="shared" si="10"/>
        <v>0</v>
      </c>
      <c r="AA8" s="48">
        <f t="shared" si="13"/>
        <v>0</v>
      </c>
      <c r="AB8" s="48">
        <f t="shared" si="11"/>
        <v>0</v>
      </c>
      <c r="AC8" s="48">
        <f t="shared" si="12"/>
        <v>0</v>
      </c>
      <c r="AD8" s="48">
        <f t="shared" si="14"/>
        <v>0</v>
      </c>
      <c r="AE8" s="73">
        <f t="shared" si="15"/>
        <v>0</v>
      </c>
      <c r="AG8" s="238"/>
      <c r="AH8" s="239"/>
    </row>
    <row r="9" spans="3:34" ht="10.5" thickBot="1">
      <c r="C9" s="74">
        <v>7</v>
      </c>
      <c r="D9" s="75" t="str">
        <f>IF(W27="Freilos","Freilos",IF(W27="","Spieler 25",W27))</f>
        <v>Spieler 25</v>
      </c>
      <c r="E9" s="76" t="str">
        <f>IF(W91="Freilos","Freilos",IF(W91="","Spieler 89",W91))</f>
        <v>Spieler 89</v>
      </c>
      <c r="F9" s="77"/>
      <c r="G9" s="78"/>
      <c r="H9" s="79"/>
      <c r="I9" s="79"/>
      <c r="J9" s="79"/>
      <c r="K9" s="80"/>
      <c r="L9" s="71"/>
      <c r="N9" s="48">
        <f t="shared" si="0"/>
        <v>0</v>
      </c>
      <c r="O9" s="48">
        <f t="shared" si="1"/>
        <v>0</v>
      </c>
      <c r="P9" s="48">
        <f t="shared" si="2"/>
        <v>0</v>
      </c>
      <c r="Q9" s="48">
        <f t="shared" si="3"/>
        <v>0</v>
      </c>
      <c r="R9" s="48">
        <f t="shared" si="4"/>
        <v>0</v>
      </c>
      <c r="S9" s="48">
        <f t="shared" si="5"/>
        <v>0</v>
      </c>
      <c r="T9" s="72">
        <f t="shared" si="6"/>
        <v>0</v>
      </c>
      <c r="U9" s="72">
        <f t="shared" si="7"/>
        <v>0</v>
      </c>
      <c r="V9" s="48">
        <v>7</v>
      </c>
      <c r="W9" s="48" t="str">
        <f>IF(Spielereingabe!F15="","Spieler 7",Spielereingabe!F15)</f>
        <v>Spieler 7</v>
      </c>
      <c r="X9" s="48">
        <f t="shared" si="8"/>
        <v>0</v>
      </c>
      <c r="Y9" s="48">
        <f t="shared" si="9"/>
        <v>0</v>
      </c>
      <c r="Z9" s="48">
        <f t="shared" si="10"/>
        <v>0</v>
      </c>
      <c r="AA9" s="48">
        <f t="shared" si="13"/>
        <v>0</v>
      </c>
      <c r="AB9" s="48">
        <f t="shared" si="11"/>
        <v>0</v>
      </c>
      <c r="AC9" s="48">
        <f t="shared" si="12"/>
        <v>0</v>
      </c>
      <c r="AD9" s="48">
        <f t="shared" si="14"/>
        <v>0</v>
      </c>
      <c r="AE9" s="73">
        <f t="shared" si="15"/>
        <v>0</v>
      </c>
      <c r="AG9" s="238"/>
      <c r="AH9" s="239"/>
    </row>
    <row r="10" spans="3:34" ht="10.5" thickBot="1">
      <c r="C10" s="74">
        <v>8</v>
      </c>
      <c r="D10" s="75" t="str">
        <f>IF(W59="Freilos","Freilos",IF(W59="","Spieler 57",W59))</f>
        <v>Spieler 57</v>
      </c>
      <c r="E10" s="76" t="str">
        <f>IF(W123="Freilos","Freilos",IF(W123="","Spieler 121",W123))</f>
        <v>Spieler 121</v>
      </c>
      <c r="F10" s="77"/>
      <c r="G10" s="78"/>
      <c r="H10" s="79"/>
      <c r="I10" s="79"/>
      <c r="J10" s="79"/>
      <c r="K10" s="80"/>
      <c r="L10" s="71"/>
      <c r="N10" s="48">
        <f t="shared" si="0"/>
        <v>0</v>
      </c>
      <c r="O10" s="48">
        <f t="shared" si="1"/>
        <v>0</v>
      </c>
      <c r="P10" s="48">
        <f t="shared" si="2"/>
        <v>0</v>
      </c>
      <c r="Q10" s="48">
        <f t="shared" si="3"/>
        <v>0</v>
      </c>
      <c r="R10" s="48">
        <f t="shared" si="4"/>
        <v>0</v>
      </c>
      <c r="S10" s="48">
        <f t="shared" si="5"/>
        <v>0</v>
      </c>
      <c r="T10" s="72">
        <f t="shared" si="6"/>
        <v>0</v>
      </c>
      <c r="U10" s="72">
        <f t="shared" si="7"/>
        <v>0</v>
      </c>
      <c r="V10" s="48">
        <v>8</v>
      </c>
      <c r="W10" s="48" t="str">
        <f>IF(Spielereingabe!F16="","Spieler 8",Spielereingabe!F16)</f>
        <v>Spieler 8</v>
      </c>
      <c r="X10" s="48">
        <f t="shared" si="8"/>
        <v>0</v>
      </c>
      <c r="Y10" s="48">
        <f t="shared" si="9"/>
        <v>0</v>
      </c>
      <c r="Z10" s="48">
        <f t="shared" si="10"/>
        <v>0</v>
      </c>
      <c r="AA10" s="48">
        <f t="shared" si="13"/>
        <v>0</v>
      </c>
      <c r="AB10" s="48">
        <f t="shared" si="11"/>
        <v>0</v>
      </c>
      <c r="AC10" s="48">
        <f t="shared" si="12"/>
        <v>0</v>
      </c>
      <c r="AD10" s="48">
        <f t="shared" si="14"/>
        <v>0</v>
      </c>
      <c r="AE10" s="73">
        <f t="shared" si="15"/>
        <v>0</v>
      </c>
      <c r="AG10" s="238"/>
      <c r="AH10" s="239"/>
    </row>
    <row r="11" spans="3:34" ht="10.5" thickBot="1">
      <c r="C11" s="74">
        <v>9</v>
      </c>
      <c r="D11" s="75" t="str">
        <f>IF(W7="Freilos","Freilos",IF(W7="","Spieler 5",W7))</f>
        <v>Spieler 5</v>
      </c>
      <c r="E11" s="76" t="str">
        <f>IF(W71="Freilos","Freilos",IF(W71="","Spieler 69",W71))</f>
        <v>Spieler 69</v>
      </c>
      <c r="F11" s="77"/>
      <c r="G11" s="78"/>
      <c r="H11" s="79"/>
      <c r="I11" s="79"/>
      <c r="J11" s="79"/>
      <c r="K11" s="80"/>
      <c r="L11" s="71"/>
      <c r="N11" s="48">
        <f t="shared" si="0"/>
        <v>0</v>
      </c>
      <c r="O11" s="48">
        <f t="shared" si="1"/>
        <v>0</v>
      </c>
      <c r="P11" s="48">
        <f t="shared" si="2"/>
        <v>0</v>
      </c>
      <c r="Q11" s="48">
        <f t="shared" si="3"/>
        <v>0</v>
      </c>
      <c r="R11" s="48">
        <f t="shared" si="4"/>
        <v>0</v>
      </c>
      <c r="S11" s="48">
        <f t="shared" si="5"/>
        <v>0</v>
      </c>
      <c r="T11" s="72">
        <f t="shared" si="6"/>
        <v>0</v>
      </c>
      <c r="U11" s="72">
        <f t="shared" si="7"/>
        <v>0</v>
      </c>
      <c r="V11" s="48">
        <v>9</v>
      </c>
      <c r="W11" s="48" t="str">
        <f>IF(Spielereingabe!F17="","Spieler 9",Spielereingabe!F17)</f>
        <v>Spieler 9</v>
      </c>
      <c r="X11" s="48">
        <f t="shared" si="8"/>
        <v>0</v>
      </c>
      <c r="Y11" s="48">
        <f t="shared" si="9"/>
        <v>0</v>
      </c>
      <c r="Z11" s="48">
        <f t="shared" si="10"/>
        <v>0</v>
      </c>
      <c r="AA11" s="48">
        <f t="shared" si="13"/>
        <v>0</v>
      </c>
      <c r="AB11" s="48">
        <f t="shared" si="11"/>
        <v>0</v>
      </c>
      <c r="AC11" s="48">
        <f t="shared" si="12"/>
        <v>0</v>
      </c>
      <c r="AD11" s="48">
        <f t="shared" si="14"/>
        <v>0</v>
      </c>
      <c r="AE11" s="73">
        <f t="shared" si="15"/>
        <v>0</v>
      </c>
      <c r="AG11" s="238"/>
      <c r="AH11" s="239"/>
    </row>
    <row r="12" spans="3:34" ht="10.5" thickBot="1">
      <c r="C12" s="74">
        <v>10</v>
      </c>
      <c r="D12" s="75" t="str">
        <f>IF(W39="Freilos","Freilos",IF(W39="","Spieler 37",W39))</f>
        <v>Spieler 37</v>
      </c>
      <c r="E12" s="76" t="str">
        <f>IF(W103="Freilos","Freilos",IF(W103="","Spieler 101",W103))</f>
        <v>Spieler 101</v>
      </c>
      <c r="F12" s="77"/>
      <c r="G12" s="78"/>
      <c r="H12" s="79"/>
      <c r="I12" s="79"/>
      <c r="J12" s="79"/>
      <c r="K12" s="80"/>
      <c r="L12" s="71"/>
      <c r="N12" s="48">
        <f t="shared" si="0"/>
        <v>0</v>
      </c>
      <c r="O12" s="48">
        <f t="shared" si="1"/>
        <v>0</v>
      </c>
      <c r="P12" s="48">
        <f t="shared" si="2"/>
        <v>0</v>
      </c>
      <c r="Q12" s="48">
        <f t="shared" si="3"/>
        <v>0</v>
      </c>
      <c r="R12" s="48">
        <f t="shared" si="4"/>
        <v>0</v>
      </c>
      <c r="S12" s="48">
        <f t="shared" si="5"/>
        <v>0</v>
      </c>
      <c r="T12" s="72">
        <f t="shared" si="6"/>
        <v>0</v>
      </c>
      <c r="U12" s="72">
        <f t="shared" si="7"/>
        <v>0</v>
      </c>
      <c r="V12" s="48">
        <v>10</v>
      </c>
      <c r="W12" s="48" t="str">
        <f>IF(Spielereingabe!F18="","Spieler 10",Spielereingabe!F18)</f>
        <v>Spieler 10</v>
      </c>
      <c r="X12" s="48">
        <f t="shared" si="8"/>
        <v>0</v>
      </c>
      <c r="Y12" s="48">
        <f t="shared" si="9"/>
        <v>0</v>
      </c>
      <c r="Z12" s="48">
        <f t="shared" si="10"/>
        <v>0</v>
      </c>
      <c r="AA12" s="48">
        <f t="shared" si="13"/>
        <v>0</v>
      </c>
      <c r="AB12" s="48">
        <f t="shared" si="11"/>
        <v>0</v>
      </c>
      <c r="AC12" s="48">
        <f t="shared" si="12"/>
        <v>0</v>
      </c>
      <c r="AD12" s="48">
        <f t="shared" si="14"/>
        <v>0</v>
      </c>
      <c r="AE12" s="73">
        <f t="shared" si="15"/>
        <v>0</v>
      </c>
      <c r="AG12" s="238"/>
      <c r="AH12" s="239"/>
    </row>
    <row r="13" spans="3:34" ht="10.5" thickBot="1">
      <c r="C13" s="74">
        <v>11</v>
      </c>
      <c r="D13" s="75" t="str">
        <f>IF(W23="Freilos","Freilos",IF(W23="","Spieler 21",W23))</f>
        <v>Spieler 21</v>
      </c>
      <c r="E13" s="76" t="str">
        <f>IF(W87="Freilos","Freilos",IF(W87="","Spieler 85",W87))</f>
        <v>Spieler 85</v>
      </c>
      <c r="F13" s="77"/>
      <c r="G13" s="78"/>
      <c r="H13" s="79"/>
      <c r="I13" s="79"/>
      <c r="J13" s="79"/>
      <c r="K13" s="80"/>
      <c r="L13" s="71"/>
      <c r="N13" s="48">
        <f t="shared" si="0"/>
        <v>0</v>
      </c>
      <c r="O13" s="48">
        <f t="shared" si="1"/>
        <v>0</v>
      </c>
      <c r="P13" s="48">
        <f t="shared" si="2"/>
        <v>0</v>
      </c>
      <c r="Q13" s="48">
        <f t="shared" si="3"/>
        <v>0</v>
      </c>
      <c r="R13" s="48">
        <f t="shared" si="4"/>
        <v>0</v>
      </c>
      <c r="S13" s="48">
        <f t="shared" si="5"/>
        <v>0</v>
      </c>
      <c r="T13" s="72">
        <f t="shared" si="6"/>
        <v>0</v>
      </c>
      <c r="U13" s="72">
        <f t="shared" si="7"/>
        <v>0</v>
      </c>
      <c r="V13" s="48">
        <v>11</v>
      </c>
      <c r="W13" s="48" t="str">
        <f>IF(Spielereingabe!F19="","Spieler 11",Spielereingabe!F19)</f>
        <v>Spieler 11</v>
      </c>
      <c r="X13" s="48">
        <f t="shared" si="8"/>
        <v>0</v>
      </c>
      <c r="Y13" s="48">
        <f t="shared" si="9"/>
        <v>0</v>
      </c>
      <c r="Z13" s="48">
        <f t="shared" si="10"/>
        <v>0</v>
      </c>
      <c r="AA13" s="48">
        <f t="shared" si="13"/>
        <v>0</v>
      </c>
      <c r="AB13" s="48">
        <f t="shared" si="11"/>
        <v>0</v>
      </c>
      <c r="AC13" s="48">
        <f t="shared" si="12"/>
        <v>0</v>
      </c>
      <c r="AD13" s="48">
        <f t="shared" si="14"/>
        <v>0</v>
      </c>
      <c r="AE13" s="73">
        <f t="shared" si="15"/>
        <v>0</v>
      </c>
      <c r="AG13" s="238"/>
      <c r="AH13" s="239"/>
    </row>
    <row r="14" spans="3:34" ht="10.5" thickBot="1">
      <c r="C14" s="74">
        <v>12</v>
      </c>
      <c r="D14" s="75" t="str">
        <f>IF(W55="Freilos","Freilos",IF(W55="","Spieler 53",W55))</f>
        <v>Spieler 53</v>
      </c>
      <c r="E14" s="76" t="str">
        <f>IF(W119="Freilos","Freilos",IF(W119="","Spieler 117",W119))</f>
        <v>Spieler 117</v>
      </c>
      <c r="F14" s="77"/>
      <c r="G14" s="78"/>
      <c r="H14" s="79"/>
      <c r="I14" s="79"/>
      <c r="J14" s="79"/>
      <c r="K14" s="80"/>
      <c r="L14" s="71"/>
      <c r="N14" s="48">
        <f t="shared" si="0"/>
        <v>0</v>
      </c>
      <c r="O14" s="48">
        <f t="shared" si="1"/>
        <v>0</v>
      </c>
      <c r="P14" s="48">
        <f t="shared" si="2"/>
        <v>0</v>
      </c>
      <c r="Q14" s="48">
        <f t="shared" si="3"/>
        <v>0</v>
      </c>
      <c r="R14" s="48">
        <f t="shared" si="4"/>
        <v>0</v>
      </c>
      <c r="S14" s="48">
        <f t="shared" si="5"/>
        <v>0</v>
      </c>
      <c r="T14" s="72">
        <f t="shared" si="6"/>
        <v>0</v>
      </c>
      <c r="U14" s="72">
        <f t="shared" si="7"/>
        <v>0</v>
      </c>
      <c r="V14" s="48">
        <v>12</v>
      </c>
      <c r="W14" s="48" t="str">
        <f>IF(Spielereingabe!F20="","Spieler 12",Spielereingabe!F20)</f>
        <v>Spieler 12</v>
      </c>
      <c r="X14" s="48">
        <f t="shared" si="8"/>
        <v>0</v>
      </c>
      <c r="Y14" s="48">
        <f t="shared" si="9"/>
        <v>0</v>
      </c>
      <c r="Z14" s="48">
        <f t="shared" si="10"/>
        <v>0</v>
      </c>
      <c r="AA14" s="48">
        <f t="shared" si="13"/>
        <v>0</v>
      </c>
      <c r="AB14" s="48">
        <f t="shared" si="11"/>
        <v>0</v>
      </c>
      <c r="AC14" s="48">
        <f t="shared" si="12"/>
        <v>0</v>
      </c>
      <c r="AD14" s="48">
        <f t="shared" si="14"/>
        <v>0</v>
      </c>
      <c r="AE14" s="73">
        <f t="shared" si="15"/>
        <v>0</v>
      </c>
      <c r="AG14" s="238"/>
      <c r="AH14" s="239"/>
    </row>
    <row r="15" spans="3:34" ht="10.5" thickBot="1">
      <c r="C15" s="74">
        <v>13</v>
      </c>
      <c r="D15" s="75" t="str">
        <f>IF(W15="Freilos","Freilos",IF(W15="","Spieler 13",W15))</f>
        <v>Spieler 13</v>
      </c>
      <c r="E15" s="76" t="str">
        <f>IF(W79="Freilos","Freilos",IF(W79="","Spieler 77",W79))</f>
        <v>Spieler 77</v>
      </c>
      <c r="F15" s="77"/>
      <c r="G15" s="78"/>
      <c r="H15" s="79"/>
      <c r="I15" s="79"/>
      <c r="J15" s="79"/>
      <c r="K15" s="80"/>
      <c r="L15" s="71"/>
      <c r="N15" s="48">
        <f t="shared" si="0"/>
        <v>0</v>
      </c>
      <c r="O15" s="48">
        <f t="shared" si="1"/>
        <v>0</v>
      </c>
      <c r="P15" s="48">
        <f t="shared" si="2"/>
        <v>0</v>
      </c>
      <c r="Q15" s="48">
        <f t="shared" si="3"/>
        <v>0</v>
      </c>
      <c r="R15" s="48">
        <f t="shared" si="4"/>
        <v>0</v>
      </c>
      <c r="S15" s="48">
        <f t="shared" si="5"/>
        <v>0</v>
      </c>
      <c r="T15" s="72">
        <f t="shared" si="6"/>
        <v>0</v>
      </c>
      <c r="U15" s="72">
        <f t="shared" si="7"/>
        <v>0</v>
      </c>
      <c r="V15" s="48">
        <v>13</v>
      </c>
      <c r="W15" s="48" t="str">
        <f>IF(Spielereingabe!F21="","Spieler 13",Spielereingabe!F21)</f>
        <v>Spieler 13</v>
      </c>
      <c r="X15" s="48">
        <f t="shared" si="8"/>
        <v>0</v>
      </c>
      <c r="Y15" s="48">
        <f t="shared" si="9"/>
        <v>0</v>
      </c>
      <c r="Z15" s="48">
        <f t="shared" si="10"/>
        <v>0</v>
      </c>
      <c r="AA15" s="48">
        <f t="shared" si="13"/>
        <v>0</v>
      </c>
      <c r="AB15" s="48">
        <f t="shared" si="11"/>
        <v>0</v>
      </c>
      <c r="AC15" s="48">
        <f t="shared" si="12"/>
        <v>0</v>
      </c>
      <c r="AD15" s="48">
        <f t="shared" si="14"/>
        <v>0</v>
      </c>
      <c r="AE15" s="73">
        <f t="shared" si="15"/>
        <v>0</v>
      </c>
      <c r="AG15" s="238"/>
      <c r="AH15" s="239"/>
    </row>
    <row r="16" spans="3:34" ht="10.5" thickBot="1">
      <c r="C16" s="74">
        <v>14</v>
      </c>
      <c r="D16" s="75" t="str">
        <f>IF(W47="Freilos","Freilos",IF(W47="","Spieler 45",W47))</f>
        <v>Spieler 45</v>
      </c>
      <c r="E16" s="76" t="str">
        <f>IF(W111="Freilos","Freilos",IF(W111="","Spieler 109",W111))</f>
        <v>Spieler 109</v>
      </c>
      <c r="F16" s="77"/>
      <c r="G16" s="78"/>
      <c r="H16" s="79"/>
      <c r="I16" s="79"/>
      <c r="J16" s="79"/>
      <c r="K16" s="80"/>
      <c r="L16" s="71"/>
      <c r="N16" s="48">
        <f t="shared" si="0"/>
        <v>0</v>
      </c>
      <c r="O16" s="48">
        <f t="shared" si="1"/>
        <v>0</v>
      </c>
      <c r="P16" s="48">
        <f t="shared" si="2"/>
        <v>0</v>
      </c>
      <c r="Q16" s="48">
        <f t="shared" si="3"/>
        <v>0</v>
      </c>
      <c r="R16" s="48">
        <f t="shared" si="4"/>
        <v>0</v>
      </c>
      <c r="S16" s="48">
        <f t="shared" si="5"/>
        <v>0</v>
      </c>
      <c r="T16" s="72">
        <f t="shared" si="6"/>
        <v>0</v>
      </c>
      <c r="U16" s="72">
        <f t="shared" si="7"/>
        <v>0</v>
      </c>
      <c r="V16" s="48">
        <v>14</v>
      </c>
      <c r="W16" s="48" t="str">
        <f>IF(Spielereingabe!F22="","Spieler 14",Spielereingabe!F22)</f>
        <v>Spieler 14</v>
      </c>
      <c r="X16" s="48">
        <f t="shared" si="8"/>
        <v>0</v>
      </c>
      <c r="Y16" s="48">
        <f t="shared" si="9"/>
        <v>0</v>
      </c>
      <c r="Z16" s="48">
        <f t="shared" si="10"/>
        <v>0</v>
      </c>
      <c r="AA16" s="48">
        <f t="shared" si="13"/>
        <v>0</v>
      </c>
      <c r="AB16" s="48">
        <f t="shared" si="11"/>
        <v>0</v>
      </c>
      <c r="AC16" s="48">
        <f t="shared" si="12"/>
        <v>0</v>
      </c>
      <c r="AD16" s="48">
        <f t="shared" si="14"/>
        <v>0</v>
      </c>
      <c r="AE16" s="73">
        <f t="shared" si="15"/>
        <v>0</v>
      </c>
      <c r="AG16" s="238"/>
      <c r="AH16" s="239"/>
    </row>
    <row r="17" spans="3:34" ht="10.5" thickBot="1">
      <c r="C17" s="74">
        <v>15</v>
      </c>
      <c r="D17" s="75" t="str">
        <f>IF(W31="Freilos","Freilos",IF(W31="","Spieler 29",W31))</f>
        <v>Spieler 29</v>
      </c>
      <c r="E17" s="76" t="str">
        <f>IF(W95="Freilos","Freilos",IF(W95="","Spieler 93",W95))</f>
        <v>Spieler 93</v>
      </c>
      <c r="F17" s="77"/>
      <c r="G17" s="78"/>
      <c r="H17" s="79"/>
      <c r="I17" s="79"/>
      <c r="J17" s="79"/>
      <c r="K17" s="80"/>
      <c r="L17" s="71"/>
      <c r="N17" s="48">
        <f t="shared" si="0"/>
        <v>0</v>
      </c>
      <c r="O17" s="48">
        <f t="shared" si="1"/>
        <v>0</v>
      </c>
      <c r="P17" s="48">
        <f t="shared" si="2"/>
        <v>0</v>
      </c>
      <c r="Q17" s="48">
        <f t="shared" si="3"/>
        <v>0</v>
      </c>
      <c r="R17" s="48">
        <f t="shared" si="4"/>
        <v>0</v>
      </c>
      <c r="S17" s="48">
        <f t="shared" si="5"/>
        <v>0</v>
      </c>
      <c r="T17" s="72">
        <f t="shared" si="6"/>
        <v>0</v>
      </c>
      <c r="U17" s="72">
        <f t="shared" si="7"/>
        <v>0</v>
      </c>
      <c r="V17" s="48">
        <v>15</v>
      </c>
      <c r="W17" s="48" t="str">
        <f>IF(Spielereingabe!F23="","Spieler 15",Spielereingabe!F23)</f>
        <v>Spieler 15</v>
      </c>
      <c r="X17" s="48">
        <f t="shared" si="8"/>
        <v>0</v>
      </c>
      <c r="Y17" s="48">
        <f t="shared" si="9"/>
        <v>0</v>
      </c>
      <c r="Z17" s="48">
        <f t="shared" si="10"/>
        <v>0</v>
      </c>
      <c r="AA17" s="48">
        <f t="shared" si="13"/>
        <v>0</v>
      </c>
      <c r="AB17" s="48">
        <f t="shared" si="11"/>
        <v>0</v>
      </c>
      <c r="AC17" s="48">
        <f t="shared" si="12"/>
        <v>0</v>
      </c>
      <c r="AD17" s="48">
        <f t="shared" si="14"/>
        <v>0</v>
      </c>
      <c r="AE17" s="73">
        <f t="shared" si="15"/>
        <v>0</v>
      </c>
      <c r="AG17" s="238"/>
      <c r="AH17" s="239"/>
    </row>
    <row r="18" spans="3:34" ht="10.5" thickBot="1">
      <c r="C18" s="74">
        <v>16</v>
      </c>
      <c r="D18" s="75" t="str">
        <f>IF(W63="Freilos","Freilos",IF(W63="","Spieler 61",W63))</f>
        <v>Spieler 61</v>
      </c>
      <c r="E18" s="76" t="str">
        <f>IF(W127="Freilos","Freilos",IF(W127="","Spieler 125",W127))</f>
        <v>Spieler 125</v>
      </c>
      <c r="F18" s="77"/>
      <c r="G18" s="78"/>
      <c r="H18" s="79"/>
      <c r="I18" s="79"/>
      <c r="J18" s="79"/>
      <c r="K18" s="80"/>
      <c r="L18" s="71"/>
      <c r="N18" s="48">
        <f t="shared" si="0"/>
        <v>0</v>
      </c>
      <c r="O18" s="48">
        <f t="shared" si="1"/>
        <v>0</v>
      </c>
      <c r="P18" s="48">
        <f t="shared" si="2"/>
        <v>0</v>
      </c>
      <c r="Q18" s="48">
        <f t="shared" si="3"/>
        <v>0</v>
      </c>
      <c r="R18" s="48">
        <f t="shared" si="4"/>
        <v>0</v>
      </c>
      <c r="S18" s="48">
        <f t="shared" si="5"/>
        <v>0</v>
      </c>
      <c r="T18" s="72">
        <f t="shared" si="6"/>
        <v>0</v>
      </c>
      <c r="U18" s="72">
        <f t="shared" si="7"/>
        <v>0</v>
      </c>
      <c r="V18" s="48">
        <v>16</v>
      </c>
      <c r="W18" s="48" t="str">
        <f>IF(Spielereingabe!F24="","Spieler 16",Spielereingabe!F24)</f>
        <v>Spieler 16</v>
      </c>
      <c r="X18" s="48">
        <f t="shared" si="8"/>
        <v>0</v>
      </c>
      <c r="Y18" s="48">
        <f t="shared" si="9"/>
        <v>0</v>
      </c>
      <c r="Z18" s="48">
        <f t="shared" si="10"/>
        <v>0</v>
      </c>
      <c r="AA18" s="48">
        <f t="shared" si="13"/>
        <v>0</v>
      </c>
      <c r="AB18" s="48">
        <f t="shared" si="11"/>
        <v>0</v>
      </c>
      <c r="AC18" s="48">
        <f t="shared" si="12"/>
        <v>0</v>
      </c>
      <c r="AD18" s="48">
        <f t="shared" si="14"/>
        <v>0</v>
      </c>
      <c r="AE18" s="73">
        <f t="shared" si="15"/>
        <v>0</v>
      </c>
      <c r="AG18" s="238"/>
      <c r="AH18" s="239"/>
    </row>
    <row r="19" spans="3:34" ht="10.5" thickBot="1">
      <c r="C19" s="74">
        <v>17</v>
      </c>
      <c r="D19" s="75" t="str">
        <f>IF(W5="Freilos","Freilos",IF(W5="","Spieler 1",W5))</f>
        <v>Spieler 3</v>
      </c>
      <c r="E19" s="76" t="str">
        <f>IF(W69="Freilos","Freilos",IF(W69="","Spieler 67",W69))</f>
        <v>Spieler 67</v>
      </c>
      <c r="F19" s="77"/>
      <c r="G19" s="78"/>
      <c r="H19" s="79"/>
      <c r="I19" s="79"/>
      <c r="J19" s="79"/>
      <c r="K19" s="80"/>
      <c r="L19" s="71"/>
      <c r="N19" s="48">
        <f t="shared" si="0"/>
        <v>0</v>
      </c>
      <c r="O19" s="48">
        <f t="shared" si="1"/>
        <v>0</v>
      </c>
      <c r="P19" s="48">
        <f t="shared" si="2"/>
        <v>0</v>
      </c>
      <c r="Q19" s="48">
        <f t="shared" si="3"/>
        <v>0</v>
      </c>
      <c r="R19" s="48">
        <f t="shared" si="4"/>
        <v>0</v>
      </c>
      <c r="S19" s="48">
        <f t="shared" si="5"/>
        <v>0</v>
      </c>
      <c r="T19" s="72">
        <f t="shared" si="6"/>
        <v>0</v>
      </c>
      <c r="U19" s="72">
        <f t="shared" si="7"/>
        <v>0</v>
      </c>
      <c r="V19" s="48">
        <v>17</v>
      </c>
      <c r="W19" s="48" t="str">
        <f>IF(Spielereingabe!F25="","Spieler 17",Spielereingabe!F25)</f>
        <v>Spieler 17</v>
      </c>
      <c r="X19" s="48">
        <f t="shared" si="8"/>
        <v>0</v>
      </c>
      <c r="Y19" s="48">
        <f t="shared" si="9"/>
        <v>0</v>
      </c>
      <c r="Z19" s="48">
        <f t="shared" si="10"/>
        <v>0</v>
      </c>
      <c r="AA19" s="48">
        <f t="shared" si="13"/>
        <v>0</v>
      </c>
      <c r="AB19" s="48">
        <f t="shared" si="11"/>
        <v>0</v>
      </c>
      <c r="AC19" s="48">
        <f t="shared" si="12"/>
        <v>0</v>
      </c>
      <c r="AD19" s="48">
        <f t="shared" si="14"/>
        <v>0</v>
      </c>
      <c r="AE19" s="73">
        <f t="shared" si="15"/>
        <v>0</v>
      </c>
      <c r="AG19" s="238"/>
      <c r="AH19" s="239"/>
    </row>
    <row r="20" spans="3:34" ht="10.5" thickBot="1">
      <c r="C20" s="74">
        <v>18</v>
      </c>
      <c r="D20" s="75" t="str">
        <f>IF(W37="Freilos","Freilos",IF(W37="","Spieler 35",W37))</f>
        <v>Spieler 35</v>
      </c>
      <c r="E20" s="76" t="str">
        <f>IF(W101="Freilos","Freilos",IF(W101="","Spieler 99",W101))</f>
        <v>Spieler 99</v>
      </c>
      <c r="F20" s="77"/>
      <c r="G20" s="78"/>
      <c r="H20" s="79"/>
      <c r="I20" s="79"/>
      <c r="J20" s="79"/>
      <c r="K20" s="80"/>
      <c r="L20" s="71"/>
      <c r="N20" s="48">
        <f t="shared" si="0"/>
        <v>0</v>
      </c>
      <c r="O20" s="48">
        <f t="shared" si="1"/>
        <v>0</v>
      </c>
      <c r="P20" s="48">
        <f t="shared" si="2"/>
        <v>0</v>
      </c>
      <c r="Q20" s="48">
        <f t="shared" si="3"/>
        <v>0</v>
      </c>
      <c r="R20" s="48">
        <f t="shared" si="4"/>
        <v>0</v>
      </c>
      <c r="S20" s="48">
        <f t="shared" si="5"/>
        <v>0</v>
      </c>
      <c r="T20" s="72">
        <f t="shared" si="6"/>
        <v>0</v>
      </c>
      <c r="U20" s="72">
        <f t="shared" si="7"/>
        <v>0</v>
      </c>
      <c r="V20" s="48">
        <v>18</v>
      </c>
      <c r="W20" s="48" t="str">
        <f>IF(Spielereingabe!F26="","Spieler 18",Spielereingabe!F26)</f>
        <v>Spieler 18</v>
      </c>
      <c r="X20" s="48">
        <f t="shared" si="8"/>
        <v>0</v>
      </c>
      <c r="Y20" s="48">
        <f t="shared" si="9"/>
        <v>0</v>
      </c>
      <c r="Z20" s="48">
        <f t="shared" si="10"/>
        <v>0</v>
      </c>
      <c r="AA20" s="48">
        <f t="shared" si="13"/>
        <v>0</v>
      </c>
      <c r="AB20" s="48">
        <f t="shared" si="11"/>
        <v>0</v>
      </c>
      <c r="AC20" s="48">
        <f t="shared" si="12"/>
        <v>0</v>
      </c>
      <c r="AD20" s="48">
        <f t="shared" si="14"/>
        <v>0</v>
      </c>
      <c r="AE20" s="73">
        <f t="shared" si="15"/>
        <v>0</v>
      </c>
      <c r="AG20" s="238"/>
      <c r="AH20" s="239"/>
    </row>
    <row r="21" spans="3:34" ht="10.5" thickBot="1">
      <c r="C21" s="74">
        <v>19</v>
      </c>
      <c r="D21" s="75" t="str">
        <f>IF(W21="Freilos","Freilos",IF(W21="","Spieler 19",W21))</f>
        <v>Spieler 19</v>
      </c>
      <c r="E21" s="76" t="str">
        <f>IF(W85="Freilos","Freilos",IF(W85="","Spieler 83",W85))</f>
        <v>Spieler 83</v>
      </c>
      <c r="F21" s="77"/>
      <c r="G21" s="78"/>
      <c r="H21" s="79"/>
      <c r="I21" s="79"/>
      <c r="J21" s="79"/>
      <c r="K21" s="80"/>
      <c r="L21" s="71"/>
      <c r="N21" s="48">
        <f t="shared" si="0"/>
        <v>0</v>
      </c>
      <c r="O21" s="48">
        <f t="shared" si="1"/>
        <v>0</v>
      </c>
      <c r="P21" s="48">
        <f t="shared" si="2"/>
        <v>0</v>
      </c>
      <c r="Q21" s="48">
        <f t="shared" si="3"/>
        <v>0</v>
      </c>
      <c r="R21" s="48">
        <f t="shared" si="4"/>
        <v>0</v>
      </c>
      <c r="S21" s="48">
        <f t="shared" si="5"/>
        <v>0</v>
      </c>
      <c r="T21" s="72">
        <f t="shared" si="6"/>
        <v>0</v>
      </c>
      <c r="U21" s="72">
        <f t="shared" si="7"/>
        <v>0</v>
      </c>
      <c r="V21" s="48">
        <v>19</v>
      </c>
      <c r="W21" s="48" t="str">
        <f>IF(Spielereingabe!F27="","Spieler 19",Spielereingabe!F27)</f>
        <v>Spieler 19</v>
      </c>
      <c r="X21" s="48">
        <f t="shared" si="8"/>
        <v>0</v>
      </c>
      <c r="Y21" s="48">
        <f t="shared" si="9"/>
        <v>0</v>
      </c>
      <c r="Z21" s="48">
        <f t="shared" si="10"/>
        <v>0</v>
      </c>
      <c r="AA21" s="48">
        <f t="shared" si="13"/>
        <v>0</v>
      </c>
      <c r="AB21" s="48">
        <f t="shared" si="11"/>
        <v>0</v>
      </c>
      <c r="AC21" s="48">
        <f t="shared" si="12"/>
        <v>0</v>
      </c>
      <c r="AD21" s="48">
        <f t="shared" si="14"/>
        <v>0</v>
      </c>
      <c r="AE21" s="73">
        <f t="shared" si="15"/>
        <v>0</v>
      </c>
      <c r="AG21" s="238"/>
      <c r="AH21" s="239"/>
    </row>
    <row r="22" spans="3:34" ht="10.5" thickBot="1">
      <c r="C22" s="74">
        <v>20</v>
      </c>
      <c r="D22" s="75" t="str">
        <f>IF(W53="Freilos","Freilos",IF(W53="","Spieler 51",W53))</f>
        <v>Spieler 51</v>
      </c>
      <c r="E22" s="76" t="str">
        <f>IF(W117="Freilos","Freilos",IF(W117="","Spieler 115",W117))</f>
        <v>Spieler 115</v>
      </c>
      <c r="F22" s="77"/>
      <c r="G22" s="78"/>
      <c r="H22" s="79"/>
      <c r="I22" s="79"/>
      <c r="J22" s="79"/>
      <c r="K22" s="80"/>
      <c r="L22" s="71"/>
      <c r="N22" s="48">
        <f t="shared" si="0"/>
        <v>0</v>
      </c>
      <c r="O22" s="48">
        <f t="shared" si="1"/>
        <v>0</v>
      </c>
      <c r="P22" s="48">
        <f t="shared" si="2"/>
        <v>0</v>
      </c>
      <c r="Q22" s="48">
        <f t="shared" si="3"/>
        <v>0</v>
      </c>
      <c r="R22" s="48">
        <f t="shared" si="4"/>
        <v>0</v>
      </c>
      <c r="S22" s="48">
        <f t="shared" si="5"/>
        <v>0</v>
      </c>
      <c r="T22" s="72">
        <f t="shared" si="6"/>
        <v>0</v>
      </c>
      <c r="U22" s="72">
        <f t="shared" si="7"/>
        <v>0</v>
      </c>
      <c r="V22" s="48">
        <v>20</v>
      </c>
      <c r="W22" s="48" t="str">
        <f>IF(Spielereingabe!F28="","Spieler 20",Spielereingabe!F28)</f>
        <v>Spieler 20</v>
      </c>
      <c r="X22" s="48">
        <f t="shared" si="8"/>
        <v>0</v>
      </c>
      <c r="Y22" s="48">
        <f t="shared" si="9"/>
        <v>0</v>
      </c>
      <c r="Z22" s="48">
        <f t="shared" si="10"/>
        <v>0</v>
      </c>
      <c r="AA22" s="48">
        <f t="shared" si="13"/>
        <v>0</v>
      </c>
      <c r="AB22" s="48">
        <f t="shared" si="11"/>
        <v>0</v>
      </c>
      <c r="AC22" s="48">
        <f t="shared" si="12"/>
        <v>0</v>
      </c>
      <c r="AD22" s="48">
        <f t="shared" si="14"/>
        <v>0</v>
      </c>
      <c r="AE22" s="73">
        <f t="shared" si="15"/>
        <v>0</v>
      </c>
      <c r="AG22" s="238"/>
      <c r="AH22" s="239"/>
    </row>
    <row r="23" spans="3:34" ht="10.5" thickBot="1">
      <c r="C23" s="74">
        <v>21</v>
      </c>
      <c r="D23" s="75" t="str">
        <f>IF(W13="Freilos","Freilos",IF(W13="","Spieler 11",W13))</f>
        <v>Spieler 11</v>
      </c>
      <c r="E23" s="76" t="str">
        <f>IF(W77="Freilos","Freilos",IF(W77="","Spieler 75",W77))</f>
        <v>Spieler 75</v>
      </c>
      <c r="F23" s="77"/>
      <c r="G23" s="78"/>
      <c r="H23" s="79"/>
      <c r="I23" s="79"/>
      <c r="J23" s="79"/>
      <c r="K23" s="80"/>
      <c r="L23" s="71"/>
      <c r="N23" s="48">
        <f t="shared" si="0"/>
        <v>0</v>
      </c>
      <c r="O23" s="48">
        <f t="shared" si="1"/>
        <v>0</v>
      </c>
      <c r="P23" s="48">
        <f t="shared" si="2"/>
        <v>0</v>
      </c>
      <c r="Q23" s="48">
        <f t="shared" si="3"/>
        <v>0</v>
      </c>
      <c r="R23" s="48">
        <f t="shared" si="4"/>
        <v>0</v>
      </c>
      <c r="S23" s="48">
        <f t="shared" si="5"/>
        <v>0</v>
      </c>
      <c r="T23" s="72">
        <f t="shared" si="6"/>
        <v>0</v>
      </c>
      <c r="U23" s="72">
        <f t="shared" si="7"/>
        <v>0</v>
      </c>
      <c r="V23" s="48">
        <v>21</v>
      </c>
      <c r="W23" s="48" t="str">
        <f>IF(Spielereingabe!F29="","Spieler 21",Spielereingabe!F29)</f>
        <v>Spieler 21</v>
      </c>
      <c r="X23" s="48">
        <f t="shared" si="8"/>
        <v>0</v>
      </c>
      <c r="Y23" s="48">
        <f t="shared" si="9"/>
        <v>0</v>
      </c>
      <c r="Z23" s="48">
        <f t="shared" si="10"/>
        <v>0</v>
      </c>
      <c r="AA23" s="48">
        <f t="shared" si="13"/>
        <v>0</v>
      </c>
      <c r="AB23" s="48">
        <f t="shared" si="11"/>
        <v>0</v>
      </c>
      <c r="AC23" s="48">
        <f t="shared" si="12"/>
        <v>0</v>
      </c>
      <c r="AD23" s="48">
        <f t="shared" si="14"/>
        <v>0</v>
      </c>
      <c r="AE23" s="73">
        <f t="shared" si="15"/>
        <v>0</v>
      </c>
      <c r="AG23" s="238"/>
      <c r="AH23" s="239"/>
    </row>
    <row r="24" spans="3:34" ht="10.5" thickBot="1">
      <c r="C24" s="74">
        <v>22</v>
      </c>
      <c r="D24" s="75" t="str">
        <f>IF(W45="Freilos","Freilos",IF(W45="","Spieler 43",W45))</f>
        <v>Spieler 43</v>
      </c>
      <c r="E24" s="76" t="str">
        <f>IF(W109="Freilos","Freilos",IF(W109="","Spieler 107",W109))</f>
        <v>Spieler 107</v>
      </c>
      <c r="F24" s="77"/>
      <c r="G24" s="78"/>
      <c r="H24" s="79"/>
      <c r="I24" s="79"/>
      <c r="J24" s="79"/>
      <c r="K24" s="80"/>
      <c r="L24" s="71"/>
      <c r="N24" s="48">
        <f t="shared" si="0"/>
        <v>0</v>
      </c>
      <c r="O24" s="48">
        <f t="shared" si="1"/>
        <v>0</v>
      </c>
      <c r="P24" s="48">
        <f t="shared" si="2"/>
        <v>0</v>
      </c>
      <c r="Q24" s="48">
        <f t="shared" si="3"/>
        <v>0</v>
      </c>
      <c r="R24" s="48">
        <f t="shared" si="4"/>
        <v>0</v>
      </c>
      <c r="S24" s="48">
        <f t="shared" si="5"/>
        <v>0</v>
      </c>
      <c r="T24" s="72">
        <f t="shared" si="6"/>
        <v>0</v>
      </c>
      <c r="U24" s="72">
        <f t="shared" si="7"/>
        <v>0</v>
      </c>
      <c r="V24" s="48">
        <v>22</v>
      </c>
      <c r="W24" s="48" t="str">
        <f>IF(Spielereingabe!F30="","Spieler 22",Spielereingabe!F30)</f>
        <v>Spieler 22</v>
      </c>
      <c r="X24" s="48">
        <f t="shared" si="8"/>
        <v>0</v>
      </c>
      <c r="Y24" s="48">
        <f t="shared" si="9"/>
        <v>0</v>
      </c>
      <c r="Z24" s="48">
        <f t="shared" si="10"/>
        <v>0</v>
      </c>
      <c r="AA24" s="48">
        <f t="shared" si="13"/>
        <v>0</v>
      </c>
      <c r="AB24" s="48">
        <f t="shared" si="11"/>
        <v>0</v>
      </c>
      <c r="AC24" s="48">
        <f t="shared" si="12"/>
        <v>0</v>
      </c>
      <c r="AD24" s="48">
        <f t="shared" si="14"/>
        <v>0</v>
      </c>
      <c r="AE24" s="73">
        <f t="shared" si="15"/>
        <v>0</v>
      </c>
      <c r="AG24" s="238"/>
      <c r="AH24" s="239"/>
    </row>
    <row r="25" spans="3:34" ht="10.5" thickBot="1">
      <c r="C25" s="74">
        <v>23</v>
      </c>
      <c r="D25" s="75" t="str">
        <f>IF(W29="Freilos","Freilos",IF(W29="","Spieler 27",W29))</f>
        <v>Spieler 27</v>
      </c>
      <c r="E25" s="76" t="str">
        <f>IF(W93="Freilos","Freilos",IF(W93="","Spieler 91",W93))</f>
        <v>Spieler 91</v>
      </c>
      <c r="F25" s="77"/>
      <c r="G25" s="78"/>
      <c r="H25" s="79"/>
      <c r="I25" s="79"/>
      <c r="J25" s="79"/>
      <c r="K25" s="80"/>
      <c r="L25" s="71"/>
      <c r="N25" s="48">
        <f t="shared" si="0"/>
        <v>0</v>
      </c>
      <c r="O25" s="48">
        <f t="shared" si="1"/>
        <v>0</v>
      </c>
      <c r="P25" s="48">
        <f t="shared" si="2"/>
        <v>0</v>
      </c>
      <c r="Q25" s="48">
        <f t="shared" si="3"/>
        <v>0</v>
      </c>
      <c r="R25" s="48">
        <f t="shared" si="4"/>
        <v>0</v>
      </c>
      <c r="S25" s="48">
        <f t="shared" si="5"/>
        <v>0</v>
      </c>
      <c r="T25" s="72">
        <f t="shared" si="6"/>
        <v>0</v>
      </c>
      <c r="U25" s="72">
        <f t="shared" si="7"/>
        <v>0</v>
      </c>
      <c r="V25" s="48">
        <v>23</v>
      </c>
      <c r="W25" s="48" t="str">
        <f>IF(Spielereingabe!F31="","Spieler 23",Spielereingabe!F31)</f>
        <v>Spieler 23</v>
      </c>
      <c r="X25" s="48">
        <f t="shared" si="8"/>
        <v>0</v>
      </c>
      <c r="Y25" s="48">
        <f t="shared" si="9"/>
        <v>0</v>
      </c>
      <c r="Z25" s="48">
        <f t="shared" si="10"/>
        <v>0</v>
      </c>
      <c r="AA25" s="48">
        <f t="shared" si="13"/>
        <v>0</v>
      </c>
      <c r="AB25" s="48">
        <f t="shared" si="11"/>
        <v>0</v>
      </c>
      <c r="AC25" s="48">
        <f t="shared" si="12"/>
        <v>0</v>
      </c>
      <c r="AD25" s="48">
        <f t="shared" si="14"/>
        <v>0</v>
      </c>
      <c r="AE25" s="73">
        <f t="shared" si="15"/>
        <v>0</v>
      </c>
      <c r="AG25" s="238"/>
      <c r="AH25" s="239"/>
    </row>
    <row r="26" spans="3:34" ht="10.5" thickBot="1">
      <c r="C26" s="74">
        <v>24</v>
      </c>
      <c r="D26" s="75" t="str">
        <f>IF(W61="Freilos","Freilos",IF(W61="","Spieler 59",W61))</f>
        <v>Spieler 59</v>
      </c>
      <c r="E26" s="76" t="str">
        <f>IF(W125="Freilos","Freilos",IF(W125="","Spieler 123",W125))</f>
        <v>Spieler 123</v>
      </c>
      <c r="F26" s="77"/>
      <c r="G26" s="78"/>
      <c r="H26" s="79"/>
      <c r="I26" s="79"/>
      <c r="J26" s="79"/>
      <c r="K26" s="80"/>
      <c r="L26" s="71"/>
      <c r="N26" s="48">
        <f t="shared" si="0"/>
        <v>0</v>
      </c>
      <c r="O26" s="48">
        <f t="shared" si="1"/>
        <v>0</v>
      </c>
      <c r="P26" s="48">
        <f t="shared" si="2"/>
        <v>0</v>
      </c>
      <c r="Q26" s="48">
        <f t="shared" si="3"/>
        <v>0</v>
      </c>
      <c r="R26" s="48">
        <f t="shared" si="4"/>
        <v>0</v>
      </c>
      <c r="S26" s="48">
        <f t="shared" si="5"/>
        <v>0</v>
      </c>
      <c r="T26" s="72">
        <f t="shared" si="6"/>
        <v>0</v>
      </c>
      <c r="U26" s="72">
        <f t="shared" si="7"/>
        <v>0</v>
      </c>
      <c r="V26" s="48">
        <v>24</v>
      </c>
      <c r="W26" s="48" t="str">
        <f>IF(Spielereingabe!F32="","Spieler 24",Spielereingabe!F32)</f>
        <v>Spieler 24</v>
      </c>
      <c r="X26" s="48">
        <f t="shared" si="8"/>
        <v>0</v>
      </c>
      <c r="Y26" s="48">
        <f t="shared" si="9"/>
        <v>0</v>
      </c>
      <c r="Z26" s="48">
        <f t="shared" si="10"/>
        <v>0</v>
      </c>
      <c r="AA26" s="48">
        <f t="shared" si="13"/>
        <v>0</v>
      </c>
      <c r="AB26" s="48">
        <f t="shared" si="11"/>
        <v>0</v>
      </c>
      <c r="AC26" s="48">
        <f t="shared" si="12"/>
        <v>0</v>
      </c>
      <c r="AD26" s="48">
        <f t="shared" si="14"/>
        <v>0</v>
      </c>
      <c r="AE26" s="73">
        <f t="shared" si="15"/>
        <v>0</v>
      </c>
      <c r="AG26" s="238"/>
      <c r="AH26" s="239"/>
    </row>
    <row r="27" spans="3:34" ht="10.5" thickBot="1">
      <c r="C27" s="74">
        <v>25</v>
      </c>
      <c r="D27" s="75" t="str">
        <f>IF(W9="Freilos","Freilos",IF(W9="","Spieler 7",W9))</f>
        <v>Spieler 7</v>
      </c>
      <c r="E27" s="76" t="str">
        <f>IF(W73="Freilos","Freilos",IF(W73="","Spieler 71",W73))</f>
        <v>Spieler 71</v>
      </c>
      <c r="F27" s="77"/>
      <c r="G27" s="78"/>
      <c r="H27" s="79"/>
      <c r="I27" s="79"/>
      <c r="J27" s="79"/>
      <c r="K27" s="80"/>
      <c r="L27" s="71"/>
      <c r="N27" s="48">
        <f t="shared" si="0"/>
        <v>0</v>
      </c>
      <c r="O27" s="48">
        <f t="shared" si="1"/>
        <v>0</v>
      </c>
      <c r="P27" s="48">
        <f t="shared" si="2"/>
        <v>0</v>
      </c>
      <c r="Q27" s="48">
        <f t="shared" si="3"/>
        <v>0</v>
      </c>
      <c r="R27" s="48">
        <f t="shared" si="4"/>
        <v>0</v>
      </c>
      <c r="S27" s="48">
        <f t="shared" si="5"/>
        <v>0</v>
      </c>
      <c r="T27" s="72">
        <f t="shared" si="6"/>
        <v>0</v>
      </c>
      <c r="U27" s="72">
        <f t="shared" si="7"/>
        <v>0</v>
      </c>
      <c r="V27" s="48">
        <v>25</v>
      </c>
      <c r="W27" s="48" t="str">
        <f>IF(Spielereingabe!F33="","Spieler 25",Spielereingabe!F33)</f>
        <v>Spieler 25</v>
      </c>
      <c r="X27" s="48">
        <f t="shared" si="8"/>
        <v>0</v>
      </c>
      <c r="Y27" s="48">
        <f t="shared" si="9"/>
        <v>0</v>
      </c>
      <c r="Z27" s="48">
        <f t="shared" si="10"/>
        <v>0</v>
      </c>
      <c r="AA27" s="48">
        <f t="shared" si="13"/>
        <v>0</v>
      </c>
      <c r="AB27" s="48">
        <f t="shared" si="11"/>
        <v>0</v>
      </c>
      <c r="AC27" s="48">
        <f t="shared" si="12"/>
        <v>0</v>
      </c>
      <c r="AD27" s="48">
        <f t="shared" si="14"/>
        <v>0</v>
      </c>
      <c r="AE27" s="73">
        <f t="shared" si="15"/>
        <v>0</v>
      </c>
      <c r="AG27" s="238"/>
      <c r="AH27" s="239"/>
    </row>
    <row r="28" spans="3:34" ht="10.5" thickBot="1">
      <c r="C28" s="74">
        <v>26</v>
      </c>
      <c r="D28" s="75" t="str">
        <f>IF(W41="Freilos","Freilos",IF(W41="","Spieler 39",W41))</f>
        <v>Spieler 39</v>
      </c>
      <c r="E28" s="76" t="str">
        <f>IF(W105="Freilos","Freilos",IF(W105="","Spieler 103",W105))</f>
        <v>Spieler 103</v>
      </c>
      <c r="F28" s="77"/>
      <c r="G28" s="78"/>
      <c r="H28" s="79"/>
      <c r="I28" s="79"/>
      <c r="J28" s="79"/>
      <c r="K28" s="80"/>
      <c r="L28" s="71"/>
      <c r="N28" s="48">
        <f t="shared" si="0"/>
        <v>0</v>
      </c>
      <c r="O28" s="48">
        <f t="shared" si="1"/>
        <v>0</v>
      </c>
      <c r="P28" s="48">
        <f t="shared" si="2"/>
        <v>0</v>
      </c>
      <c r="Q28" s="48">
        <f t="shared" si="3"/>
        <v>0</v>
      </c>
      <c r="R28" s="48">
        <f t="shared" si="4"/>
        <v>0</v>
      </c>
      <c r="S28" s="48">
        <f t="shared" si="5"/>
        <v>0</v>
      </c>
      <c r="T28" s="72">
        <f t="shared" si="6"/>
        <v>0</v>
      </c>
      <c r="U28" s="72">
        <f t="shared" si="7"/>
        <v>0</v>
      </c>
      <c r="V28" s="48">
        <v>26</v>
      </c>
      <c r="W28" s="48" t="str">
        <f>IF(Spielereingabe!F34="","Spieler 26",Spielereingabe!F34)</f>
        <v>Spieler 26</v>
      </c>
      <c r="X28" s="48">
        <f t="shared" si="8"/>
        <v>0</v>
      </c>
      <c r="Y28" s="48">
        <f t="shared" si="9"/>
        <v>0</v>
      </c>
      <c r="Z28" s="48">
        <f t="shared" si="10"/>
        <v>0</v>
      </c>
      <c r="AA28" s="48">
        <f t="shared" si="13"/>
        <v>0</v>
      </c>
      <c r="AB28" s="48">
        <f t="shared" si="11"/>
        <v>0</v>
      </c>
      <c r="AC28" s="48">
        <f t="shared" si="12"/>
        <v>0</v>
      </c>
      <c r="AD28" s="48">
        <f t="shared" si="14"/>
        <v>0</v>
      </c>
      <c r="AE28" s="73">
        <f t="shared" si="15"/>
        <v>0</v>
      </c>
      <c r="AG28" s="238"/>
      <c r="AH28" s="239"/>
    </row>
    <row r="29" spans="3:34" ht="10.5" thickBot="1">
      <c r="C29" s="74">
        <v>27</v>
      </c>
      <c r="D29" s="75" t="str">
        <f>IF(W25="Freilos","Freilos",IF(W25="","Spieler 23",W25))</f>
        <v>Spieler 23</v>
      </c>
      <c r="E29" s="76" t="str">
        <f>IF(W89="Freilos","Freilos",IF(W89="","Spieler 87",W89))</f>
        <v>Spieler 87</v>
      </c>
      <c r="F29" s="77"/>
      <c r="G29" s="78"/>
      <c r="H29" s="79"/>
      <c r="I29" s="79"/>
      <c r="J29" s="79"/>
      <c r="K29" s="80"/>
      <c r="L29" s="71"/>
      <c r="N29" s="48">
        <f t="shared" si="0"/>
        <v>0</v>
      </c>
      <c r="O29" s="48">
        <f t="shared" si="1"/>
        <v>0</v>
      </c>
      <c r="P29" s="48">
        <f t="shared" si="2"/>
        <v>0</v>
      </c>
      <c r="Q29" s="48">
        <f t="shared" si="3"/>
        <v>0</v>
      </c>
      <c r="R29" s="48">
        <f t="shared" si="4"/>
        <v>0</v>
      </c>
      <c r="S29" s="48">
        <f t="shared" si="5"/>
        <v>0</v>
      </c>
      <c r="T29" s="72">
        <f t="shared" si="6"/>
        <v>0</v>
      </c>
      <c r="U29" s="72">
        <f t="shared" si="7"/>
        <v>0</v>
      </c>
      <c r="V29" s="48">
        <v>27</v>
      </c>
      <c r="W29" s="48" t="str">
        <f>IF(Spielereingabe!F35="","Spieler 27",Spielereingabe!F35)</f>
        <v>Spieler 27</v>
      </c>
      <c r="X29" s="48">
        <f t="shared" si="8"/>
        <v>0</v>
      </c>
      <c r="Y29" s="48">
        <f t="shared" si="9"/>
        <v>0</v>
      </c>
      <c r="Z29" s="48">
        <f t="shared" si="10"/>
        <v>0</v>
      </c>
      <c r="AA29" s="48">
        <f t="shared" si="13"/>
        <v>0</v>
      </c>
      <c r="AB29" s="48">
        <f t="shared" si="11"/>
        <v>0</v>
      </c>
      <c r="AC29" s="48">
        <f t="shared" si="12"/>
        <v>0</v>
      </c>
      <c r="AD29" s="48">
        <f t="shared" si="14"/>
        <v>0</v>
      </c>
      <c r="AE29" s="73">
        <f t="shared" si="15"/>
        <v>0</v>
      </c>
      <c r="AG29" s="238"/>
      <c r="AH29" s="239"/>
    </row>
    <row r="30" spans="3:34" ht="10.5" thickBot="1">
      <c r="C30" s="74">
        <v>28</v>
      </c>
      <c r="D30" s="75" t="str">
        <f>IF(W57="Freilos","Freilos",IF(W57="","Spieler 55",W57))</f>
        <v>Spieler 55</v>
      </c>
      <c r="E30" s="76" t="str">
        <f>IF(W121="Freilos","Freilos",IF(W121="","Spieler 119",W121))</f>
        <v>Spieler 119</v>
      </c>
      <c r="F30" s="77"/>
      <c r="G30" s="78"/>
      <c r="H30" s="79"/>
      <c r="I30" s="79"/>
      <c r="J30" s="79"/>
      <c r="K30" s="80"/>
      <c r="L30" s="71"/>
      <c r="N30" s="48">
        <f t="shared" si="0"/>
        <v>0</v>
      </c>
      <c r="O30" s="48">
        <f t="shared" si="1"/>
        <v>0</v>
      </c>
      <c r="P30" s="48">
        <f t="shared" si="2"/>
        <v>0</v>
      </c>
      <c r="Q30" s="48">
        <f t="shared" si="3"/>
        <v>0</v>
      </c>
      <c r="R30" s="48">
        <f t="shared" si="4"/>
        <v>0</v>
      </c>
      <c r="S30" s="48">
        <f t="shared" si="5"/>
        <v>0</v>
      </c>
      <c r="T30" s="72">
        <f t="shared" si="6"/>
        <v>0</v>
      </c>
      <c r="U30" s="72">
        <f t="shared" si="7"/>
        <v>0</v>
      </c>
      <c r="V30" s="48">
        <v>28</v>
      </c>
      <c r="W30" s="48" t="str">
        <f>IF(Spielereingabe!F36="","Spieler 28",Spielereingabe!F36)</f>
        <v>Spieler 28</v>
      </c>
      <c r="X30" s="48">
        <f t="shared" si="8"/>
        <v>0</v>
      </c>
      <c r="Y30" s="48">
        <f t="shared" si="9"/>
        <v>0</v>
      </c>
      <c r="Z30" s="48">
        <f t="shared" si="10"/>
        <v>0</v>
      </c>
      <c r="AA30" s="48">
        <f t="shared" si="13"/>
        <v>0</v>
      </c>
      <c r="AB30" s="48">
        <f t="shared" si="11"/>
        <v>0</v>
      </c>
      <c r="AC30" s="48">
        <f t="shared" si="12"/>
        <v>0</v>
      </c>
      <c r="AD30" s="48">
        <f t="shared" si="14"/>
        <v>0</v>
      </c>
      <c r="AE30" s="73">
        <f t="shared" si="15"/>
        <v>0</v>
      </c>
      <c r="AG30" s="238"/>
      <c r="AH30" s="239"/>
    </row>
    <row r="31" spans="3:34" ht="10.5" thickBot="1">
      <c r="C31" s="74">
        <v>29</v>
      </c>
      <c r="D31" s="75" t="str">
        <f>IF(W17="Freilos","Freilos",IF(W17="","Spieler 15",W17))</f>
        <v>Spieler 15</v>
      </c>
      <c r="E31" s="76" t="str">
        <f>IF(W81="Freilos","Freilos",IF(W81="","Spieler 79",W81))</f>
        <v>Spieler 79</v>
      </c>
      <c r="F31" s="77"/>
      <c r="G31" s="78"/>
      <c r="H31" s="79"/>
      <c r="I31" s="79"/>
      <c r="J31" s="79"/>
      <c r="K31" s="80"/>
      <c r="L31" s="71"/>
      <c r="N31" s="48">
        <f t="shared" si="0"/>
        <v>0</v>
      </c>
      <c r="O31" s="48">
        <f t="shared" si="1"/>
        <v>0</v>
      </c>
      <c r="P31" s="48">
        <f t="shared" si="2"/>
        <v>0</v>
      </c>
      <c r="Q31" s="48">
        <f t="shared" si="3"/>
        <v>0</v>
      </c>
      <c r="R31" s="48">
        <f t="shared" si="4"/>
        <v>0</v>
      </c>
      <c r="S31" s="48">
        <f t="shared" si="5"/>
        <v>0</v>
      </c>
      <c r="T31" s="72">
        <f t="shared" si="6"/>
        <v>0</v>
      </c>
      <c r="U31" s="72">
        <f t="shared" si="7"/>
        <v>0</v>
      </c>
      <c r="V31" s="48">
        <v>29</v>
      </c>
      <c r="W31" s="48" t="str">
        <f>IF(Spielereingabe!F37="","Spieler 29",Spielereingabe!F37)</f>
        <v>Spieler 29</v>
      </c>
      <c r="X31" s="48">
        <f t="shared" si="8"/>
        <v>0</v>
      </c>
      <c r="Y31" s="48">
        <f t="shared" si="9"/>
        <v>0</v>
      </c>
      <c r="Z31" s="48">
        <f t="shared" si="10"/>
        <v>0</v>
      </c>
      <c r="AA31" s="48">
        <f t="shared" si="13"/>
        <v>0</v>
      </c>
      <c r="AB31" s="48">
        <f t="shared" si="11"/>
        <v>0</v>
      </c>
      <c r="AC31" s="48">
        <f t="shared" si="12"/>
        <v>0</v>
      </c>
      <c r="AD31" s="48">
        <f t="shared" si="14"/>
        <v>0</v>
      </c>
      <c r="AE31" s="73">
        <f t="shared" si="15"/>
        <v>0</v>
      </c>
      <c r="AG31" s="238"/>
      <c r="AH31" s="239"/>
    </row>
    <row r="32" spans="3:34" ht="10.5" thickBot="1">
      <c r="C32" s="74">
        <v>30</v>
      </c>
      <c r="D32" s="75" t="str">
        <f>IF(W49="Freilos","Freilos",IF(W49="","Spieler 47",W49))</f>
        <v>Spieler 47</v>
      </c>
      <c r="E32" s="76" t="str">
        <f>IF(W113="Freilos","Freilos",IF(W113="","Spieler 111",W113))</f>
        <v>Spieler 111</v>
      </c>
      <c r="F32" s="77"/>
      <c r="G32" s="78"/>
      <c r="H32" s="79"/>
      <c r="I32" s="79"/>
      <c r="J32" s="79"/>
      <c r="K32" s="80"/>
      <c r="L32" s="71"/>
      <c r="N32" s="48">
        <f t="shared" si="0"/>
        <v>0</v>
      </c>
      <c r="O32" s="48">
        <f t="shared" si="1"/>
        <v>0</v>
      </c>
      <c r="P32" s="48">
        <f t="shared" si="2"/>
        <v>0</v>
      </c>
      <c r="Q32" s="48">
        <f t="shared" si="3"/>
        <v>0</v>
      </c>
      <c r="R32" s="48">
        <f t="shared" si="4"/>
        <v>0</v>
      </c>
      <c r="S32" s="48">
        <f t="shared" si="5"/>
        <v>0</v>
      </c>
      <c r="T32" s="72">
        <f t="shared" si="6"/>
        <v>0</v>
      </c>
      <c r="U32" s="72">
        <f t="shared" si="7"/>
        <v>0</v>
      </c>
      <c r="V32" s="48">
        <v>30</v>
      </c>
      <c r="W32" s="48" t="str">
        <f>IF(Spielereingabe!F38="","Spieler 30",Spielereingabe!F38)</f>
        <v>Spieler 30</v>
      </c>
      <c r="X32" s="48">
        <f t="shared" si="8"/>
        <v>0</v>
      </c>
      <c r="Y32" s="48">
        <f t="shared" si="9"/>
        <v>0</v>
      </c>
      <c r="Z32" s="48">
        <f t="shared" si="10"/>
        <v>0</v>
      </c>
      <c r="AA32" s="48">
        <f t="shared" si="13"/>
        <v>0</v>
      </c>
      <c r="AB32" s="48">
        <f t="shared" si="11"/>
        <v>0</v>
      </c>
      <c r="AC32" s="48">
        <f t="shared" si="12"/>
        <v>0</v>
      </c>
      <c r="AD32" s="48">
        <f t="shared" si="14"/>
        <v>0</v>
      </c>
      <c r="AE32" s="73">
        <f t="shared" si="15"/>
        <v>0</v>
      </c>
      <c r="AG32" s="238"/>
      <c r="AH32" s="239"/>
    </row>
    <row r="33" spans="3:34" ht="10.5" thickBot="1">
      <c r="C33" s="74">
        <v>31</v>
      </c>
      <c r="D33" s="75" t="str">
        <f>IF(W33="Freilos","Freilos",IF(W33="","Spieler 31",W33))</f>
        <v>Spieler 31</v>
      </c>
      <c r="E33" s="76" t="str">
        <f>IF(W97="Freilos","Freilos",IF(W97="","Spieler 95",W97))</f>
        <v>Spieler 95</v>
      </c>
      <c r="F33" s="77"/>
      <c r="G33" s="78"/>
      <c r="H33" s="79"/>
      <c r="I33" s="79"/>
      <c r="J33" s="79"/>
      <c r="K33" s="80"/>
      <c r="L33" s="71"/>
      <c r="N33" s="48">
        <f t="shared" si="0"/>
        <v>0</v>
      </c>
      <c r="O33" s="48">
        <f t="shared" si="1"/>
        <v>0</v>
      </c>
      <c r="P33" s="48">
        <f t="shared" si="2"/>
        <v>0</v>
      </c>
      <c r="Q33" s="48">
        <f t="shared" si="3"/>
        <v>0</v>
      </c>
      <c r="R33" s="48">
        <f t="shared" si="4"/>
        <v>0</v>
      </c>
      <c r="S33" s="48">
        <f t="shared" si="5"/>
        <v>0</v>
      </c>
      <c r="T33" s="72">
        <f t="shared" si="6"/>
        <v>0</v>
      </c>
      <c r="U33" s="72">
        <f t="shared" si="7"/>
        <v>0</v>
      </c>
      <c r="V33" s="48">
        <v>31</v>
      </c>
      <c r="W33" s="48" t="str">
        <f>IF(Spielereingabe!F39="","Spieler 31",Spielereingabe!F39)</f>
        <v>Spieler 31</v>
      </c>
      <c r="X33" s="48">
        <f t="shared" si="8"/>
        <v>0</v>
      </c>
      <c r="Y33" s="48">
        <f t="shared" si="9"/>
        <v>0</v>
      </c>
      <c r="Z33" s="48">
        <f t="shared" si="10"/>
        <v>0</v>
      </c>
      <c r="AA33" s="48">
        <f t="shared" si="13"/>
        <v>0</v>
      </c>
      <c r="AB33" s="48">
        <f t="shared" si="11"/>
        <v>0</v>
      </c>
      <c r="AC33" s="48">
        <f t="shared" si="12"/>
        <v>0</v>
      </c>
      <c r="AD33" s="48">
        <f t="shared" si="14"/>
        <v>0</v>
      </c>
      <c r="AE33" s="73">
        <f t="shared" si="15"/>
        <v>0</v>
      </c>
      <c r="AG33" s="238"/>
      <c r="AH33" s="239"/>
    </row>
    <row r="34" spans="3:34" ht="10.5" thickBot="1">
      <c r="C34" s="74">
        <v>32</v>
      </c>
      <c r="D34" s="75" t="str">
        <f>IF(W65="Freilos","Freilos",IF(W65="","Spieler 63",W65))</f>
        <v>Spieler 63</v>
      </c>
      <c r="E34" s="76" t="str">
        <f>IF(W129="Freilos","Freilos",IF(W129="","Spieler 127",W129))</f>
        <v>Spieler 127</v>
      </c>
      <c r="F34" s="77"/>
      <c r="G34" s="78"/>
      <c r="H34" s="79"/>
      <c r="I34" s="79"/>
      <c r="J34" s="79"/>
      <c r="K34" s="80"/>
      <c r="L34" s="71"/>
      <c r="N34" s="48">
        <f t="shared" si="0"/>
        <v>0</v>
      </c>
      <c r="O34" s="48">
        <f t="shared" si="1"/>
        <v>0</v>
      </c>
      <c r="P34" s="48">
        <f t="shared" si="2"/>
        <v>0</v>
      </c>
      <c r="Q34" s="48">
        <f t="shared" si="3"/>
        <v>0</v>
      </c>
      <c r="R34" s="48">
        <f t="shared" si="4"/>
        <v>0</v>
      </c>
      <c r="S34" s="48">
        <f t="shared" si="5"/>
        <v>0</v>
      </c>
      <c r="T34" s="72">
        <f t="shared" si="6"/>
        <v>0</v>
      </c>
      <c r="U34" s="72">
        <f t="shared" si="7"/>
        <v>0</v>
      </c>
      <c r="V34" s="48">
        <v>32</v>
      </c>
      <c r="W34" s="48" t="str">
        <f>IF(Spielereingabe!F40="","Spieler 32",Spielereingabe!F40)</f>
        <v>Spieler 32</v>
      </c>
      <c r="X34" s="48">
        <f t="shared" si="8"/>
        <v>0</v>
      </c>
      <c r="Y34" s="48">
        <f t="shared" si="9"/>
        <v>0</v>
      </c>
      <c r="Z34" s="48">
        <f t="shared" si="10"/>
        <v>0</v>
      </c>
      <c r="AA34" s="48">
        <f t="shared" si="13"/>
        <v>0</v>
      </c>
      <c r="AB34" s="48">
        <f t="shared" si="11"/>
        <v>0</v>
      </c>
      <c r="AC34" s="48">
        <f t="shared" si="12"/>
        <v>0</v>
      </c>
      <c r="AD34" s="48">
        <f t="shared" si="14"/>
        <v>0</v>
      </c>
      <c r="AE34" s="73">
        <f t="shared" si="15"/>
        <v>0</v>
      </c>
      <c r="AG34" s="238"/>
      <c r="AH34" s="239"/>
    </row>
    <row r="35" spans="3:34" ht="10.5" thickBot="1">
      <c r="C35" s="74">
        <v>33</v>
      </c>
      <c r="D35" s="75" t="str">
        <f>IF(W4="Freilos","Freilos",IF(W4="","Spieler 2",W4))</f>
        <v>Spieler 2</v>
      </c>
      <c r="E35" s="76" t="str">
        <f>IF(W68="Freilos","Freilos",IF(W68="","Spieler 66",W68))</f>
        <v>Spieler 66</v>
      </c>
      <c r="F35" s="77"/>
      <c r="G35" s="78"/>
      <c r="H35" s="79"/>
      <c r="I35" s="79"/>
      <c r="J35" s="79"/>
      <c r="K35" s="80"/>
      <c r="L35" s="71"/>
      <c r="N35" s="48">
        <f t="shared" si="0"/>
        <v>0</v>
      </c>
      <c r="O35" s="48">
        <f t="shared" si="1"/>
        <v>0</v>
      </c>
      <c r="P35" s="48">
        <f t="shared" si="2"/>
        <v>0</v>
      </c>
      <c r="Q35" s="48">
        <f t="shared" si="3"/>
        <v>0</v>
      </c>
      <c r="R35" s="48">
        <f t="shared" si="4"/>
        <v>0</v>
      </c>
      <c r="S35" s="48">
        <f t="shared" si="5"/>
        <v>0</v>
      </c>
      <c r="T35" s="72">
        <f t="shared" si="6"/>
        <v>0</v>
      </c>
      <c r="U35" s="72">
        <f t="shared" si="7"/>
        <v>0</v>
      </c>
      <c r="V35" s="48">
        <v>33</v>
      </c>
      <c r="W35" s="48" t="str">
        <f>IF(Spielereingabe!F41="","Spieler 33",Spielereingabe!F41)</f>
        <v>Spieler 33</v>
      </c>
      <c r="X35" s="48">
        <f aca="true" t="shared" si="16" ref="X35:X66">IF(W35="Freilos",0,SUMIF($D$3:$E$257,W35,$T$3:$U$257))</f>
        <v>0</v>
      </c>
      <c r="Y35" s="48">
        <f aca="true" t="shared" si="17" ref="Y35:Y66">SUMIF($D$3:$E$257,W35,$P$3:$Q$257)</f>
        <v>0</v>
      </c>
      <c r="Z35" s="48">
        <f aca="true" t="shared" si="18" ref="Z35:Z66">SUMIF($D$3:$E$257,W35,$R$3:$S$257)</f>
        <v>0</v>
      </c>
      <c r="AA35" s="48">
        <f t="shared" si="13"/>
        <v>0</v>
      </c>
      <c r="AB35" s="48">
        <f aca="true" t="shared" si="19" ref="AB35:AB66">SUMIF($D$3:$E$257,W35,$N$3:$O$257)</f>
        <v>0</v>
      </c>
      <c r="AC35" s="48">
        <f aca="true" t="shared" si="20" ref="AC35:AC66">SUMIF($D$3:$E$257,W35,$F$3:$G$257)</f>
        <v>0</v>
      </c>
      <c r="AD35" s="48">
        <f t="shared" si="14"/>
        <v>0</v>
      </c>
      <c r="AE35" s="73">
        <f t="shared" si="15"/>
        <v>0</v>
      </c>
      <c r="AG35" s="238"/>
      <c r="AH35" s="239"/>
    </row>
    <row r="36" spans="3:34" ht="10.5" thickBot="1">
      <c r="C36" s="74">
        <v>34</v>
      </c>
      <c r="D36" s="75" t="str">
        <f>IF(W36="Freilos","Freilos",IF(W36="","Spieler 34",W36))</f>
        <v>Spieler 34</v>
      </c>
      <c r="E36" s="76" t="str">
        <f>IF(W100="Freilos","Freilos",IF(W100="","Spieler 98",W100))</f>
        <v>Spieler 98</v>
      </c>
      <c r="F36" s="77"/>
      <c r="G36" s="78"/>
      <c r="H36" s="79"/>
      <c r="I36" s="79"/>
      <c r="J36" s="79"/>
      <c r="K36" s="80"/>
      <c r="L36" s="71"/>
      <c r="N36" s="48">
        <f t="shared" si="0"/>
        <v>0</v>
      </c>
      <c r="O36" s="48">
        <f t="shared" si="1"/>
        <v>0</v>
      </c>
      <c r="P36" s="48">
        <f t="shared" si="2"/>
        <v>0</v>
      </c>
      <c r="Q36" s="48">
        <f t="shared" si="3"/>
        <v>0</v>
      </c>
      <c r="R36" s="48">
        <f t="shared" si="4"/>
        <v>0</v>
      </c>
      <c r="S36" s="48">
        <f t="shared" si="5"/>
        <v>0</v>
      </c>
      <c r="T36" s="72">
        <f t="shared" si="6"/>
        <v>0</v>
      </c>
      <c r="U36" s="72">
        <f t="shared" si="7"/>
        <v>0</v>
      </c>
      <c r="V36" s="48">
        <v>34</v>
      </c>
      <c r="W36" s="48" t="str">
        <f>IF(Spielereingabe!F42="","Spieler 34",Spielereingabe!F42)</f>
        <v>Spieler 34</v>
      </c>
      <c r="X36" s="48">
        <f t="shared" si="16"/>
        <v>0</v>
      </c>
      <c r="Y36" s="48">
        <f t="shared" si="17"/>
        <v>0</v>
      </c>
      <c r="Z36" s="48">
        <f t="shared" si="18"/>
        <v>0</v>
      </c>
      <c r="AA36" s="48">
        <f t="shared" si="13"/>
        <v>0</v>
      </c>
      <c r="AB36" s="48">
        <f t="shared" si="19"/>
        <v>0</v>
      </c>
      <c r="AC36" s="48">
        <f t="shared" si="20"/>
        <v>0</v>
      </c>
      <c r="AD36" s="48">
        <f t="shared" si="14"/>
        <v>0</v>
      </c>
      <c r="AE36" s="73">
        <f t="shared" si="15"/>
        <v>0</v>
      </c>
      <c r="AG36" s="238"/>
      <c r="AH36" s="239"/>
    </row>
    <row r="37" spans="3:34" ht="10.5" thickBot="1">
      <c r="C37" s="74">
        <v>35</v>
      </c>
      <c r="D37" s="75" t="str">
        <f>IF(W20="Freilos","Freilos",IF(W20="","Spieler 18",W20))</f>
        <v>Spieler 18</v>
      </c>
      <c r="E37" s="76" t="str">
        <f>IF(W84="Freilos","Freilos",IF(W84="","Spieler 82",W84))</f>
        <v>Spieler 82</v>
      </c>
      <c r="F37" s="77"/>
      <c r="G37" s="78"/>
      <c r="H37" s="79"/>
      <c r="I37" s="79"/>
      <c r="J37" s="79"/>
      <c r="K37" s="80"/>
      <c r="L37" s="71"/>
      <c r="N37" s="48">
        <f t="shared" si="0"/>
        <v>0</v>
      </c>
      <c r="O37" s="48">
        <f t="shared" si="1"/>
        <v>0</v>
      </c>
      <c r="P37" s="48">
        <f t="shared" si="2"/>
        <v>0</v>
      </c>
      <c r="Q37" s="48">
        <f t="shared" si="3"/>
        <v>0</v>
      </c>
      <c r="R37" s="48">
        <f t="shared" si="4"/>
        <v>0</v>
      </c>
      <c r="S37" s="48">
        <f t="shared" si="5"/>
        <v>0</v>
      </c>
      <c r="T37" s="72">
        <f t="shared" si="6"/>
        <v>0</v>
      </c>
      <c r="U37" s="72">
        <f t="shared" si="7"/>
        <v>0</v>
      </c>
      <c r="V37" s="48">
        <v>35</v>
      </c>
      <c r="W37" s="48" t="str">
        <f>IF(Spielereingabe!F43="","Spieler 35",Spielereingabe!F43)</f>
        <v>Spieler 35</v>
      </c>
      <c r="X37" s="48">
        <f t="shared" si="16"/>
        <v>0</v>
      </c>
      <c r="Y37" s="48">
        <f t="shared" si="17"/>
        <v>0</v>
      </c>
      <c r="Z37" s="48">
        <f t="shared" si="18"/>
        <v>0</v>
      </c>
      <c r="AA37" s="48">
        <f t="shared" si="13"/>
        <v>0</v>
      </c>
      <c r="AB37" s="48">
        <f t="shared" si="19"/>
        <v>0</v>
      </c>
      <c r="AC37" s="48">
        <f t="shared" si="20"/>
        <v>0</v>
      </c>
      <c r="AD37" s="48">
        <f t="shared" si="14"/>
        <v>0</v>
      </c>
      <c r="AE37" s="73">
        <f t="shared" si="15"/>
        <v>0</v>
      </c>
      <c r="AG37" s="238"/>
      <c r="AH37" s="239"/>
    </row>
    <row r="38" spans="3:34" ht="10.5" thickBot="1">
      <c r="C38" s="74">
        <v>36</v>
      </c>
      <c r="D38" s="75" t="str">
        <f>IF(W52="Freilos","Freilos",IF(W52="","Spieler 50",W52))</f>
        <v>Spieler 50</v>
      </c>
      <c r="E38" s="76" t="str">
        <f>IF(W116="Freilos","Freilos",IF(W116="","Spieler 114",W116))</f>
        <v>Spieler 114</v>
      </c>
      <c r="F38" s="77"/>
      <c r="G38" s="78"/>
      <c r="H38" s="79"/>
      <c r="I38" s="79"/>
      <c r="J38" s="79"/>
      <c r="K38" s="80"/>
      <c r="L38" s="71"/>
      <c r="N38" s="48">
        <f t="shared" si="0"/>
        <v>0</v>
      </c>
      <c r="O38" s="48">
        <f t="shared" si="1"/>
        <v>0</v>
      </c>
      <c r="P38" s="48">
        <f t="shared" si="2"/>
        <v>0</v>
      </c>
      <c r="Q38" s="48">
        <f t="shared" si="3"/>
        <v>0</v>
      </c>
      <c r="R38" s="48">
        <f t="shared" si="4"/>
        <v>0</v>
      </c>
      <c r="S38" s="48">
        <f t="shared" si="5"/>
        <v>0</v>
      </c>
      <c r="T38" s="72">
        <f t="shared" si="6"/>
        <v>0</v>
      </c>
      <c r="U38" s="72">
        <f t="shared" si="7"/>
        <v>0</v>
      </c>
      <c r="V38" s="48">
        <v>36</v>
      </c>
      <c r="W38" s="48" t="str">
        <f>IF(Spielereingabe!F44="","Spieler 36",Spielereingabe!F44)</f>
        <v>Spieler 36</v>
      </c>
      <c r="X38" s="48">
        <f t="shared" si="16"/>
        <v>0</v>
      </c>
      <c r="Y38" s="48">
        <f t="shared" si="17"/>
        <v>0</v>
      </c>
      <c r="Z38" s="48">
        <f t="shared" si="18"/>
        <v>0</v>
      </c>
      <c r="AA38" s="48">
        <f t="shared" si="13"/>
        <v>0</v>
      </c>
      <c r="AB38" s="48">
        <f t="shared" si="19"/>
        <v>0</v>
      </c>
      <c r="AC38" s="48">
        <f t="shared" si="20"/>
        <v>0</v>
      </c>
      <c r="AD38" s="48">
        <f t="shared" si="14"/>
        <v>0</v>
      </c>
      <c r="AE38" s="73">
        <f t="shared" si="15"/>
        <v>0</v>
      </c>
      <c r="AG38" s="238"/>
      <c r="AH38" s="239"/>
    </row>
    <row r="39" spans="3:34" ht="10.5" thickBot="1">
      <c r="C39" s="74">
        <v>37</v>
      </c>
      <c r="D39" s="75" t="str">
        <f>IF(W12="Freilos","Freilos",IF(W12="","Spieler 10",W12))</f>
        <v>Spieler 10</v>
      </c>
      <c r="E39" s="76" t="str">
        <f>IF(W76="Freilos","Freilos",IF(W76="","Spieler 74",W76))</f>
        <v>Spieler 74</v>
      </c>
      <c r="F39" s="77"/>
      <c r="G39" s="78"/>
      <c r="H39" s="79"/>
      <c r="I39" s="79"/>
      <c r="J39" s="79"/>
      <c r="K39" s="80"/>
      <c r="L39" s="71"/>
      <c r="N39" s="48">
        <f t="shared" si="0"/>
        <v>0</v>
      </c>
      <c r="O39" s="48">
        <f t="shared" si="1"/>
        <v>0</v>
      </c>
      <c r="P39" s="48">
        <f t="shared" si="2"/>
        <v>0</v>
      </c>
      <c r="Q39" s="48">
        <f t="shared" si="3"/>
        <v>0</v>
      </c>
      <c r="R39" s="48">
        <f t="shared" si="4"/>
        <v>0</v>
      </c>
      <c r="S39" s="48">
        <f t="shared" si="5"/>
        <v>0</v>
      </c>
      <c r="T39" s="72">
        <f t="shared" si="6"/>
        <v>0</v>
      </c>
      <c r="U39" s="72">
        <f t="shared" si="7"/>
        <v>0</v>
      </c>
      <c r="V39" s="48">
        <v>37</v>
      </c>
      <c r="W39" s="48" t="str">
        <f>IF(Spielereingabe!F45="","Spieler 37",Spielereingabe!F45)</f>
        <v>Spieler 37</v>
      </c>
      <c r="X39" s="48">
        <f t="shared" si="16"/>
        <v>0</v>
      </c>
      <c r="Y39" s="48">
        <f t="shared" si="17"/>
        <v>0</v>
      </c>
      <c r="Z39" s="48">
        <f t="shared" si="18"/>
        <v>0</v>
      </c>
      <c r="AA39" s="48">
        <f t="shared" si="13"/>
        <v>0</v>
      </c>
      <c r="AB39" s="48">
        <f t="shared" si="19"/>
        <v>0</v>
      </c>
      <c r="AC39" s="48">
        <f t="shared" si="20"/>
        <v>0</v>
      </c>
      <c r="AD39" s="48">
        <f t="shared" si="14"/>
        <v>0</v>
      </c>
      <c r="AE39" s="73">
        <f t="shared" si="15"/>
        <v>0</v>
      </c>
      <c r="AG39" s="238"/>
      <c r="AH39" s="239"/>
    </row>
    <row r="40" spans="3:34" ht="10.5" thickBot="1">
      <c r="C40" s="74">
        <v>38</v>
      </c>
      <c r="D40" s="75" t="str">
        <f>IF(W44="Freilos","Freilos",IF(W44="","Spieler 42",W44))</f>
        <v>Spieler 42</v>
      </c>
      <c r="E40" s="76" t="str">
        <f>IF(W108="Freilos","Freilos",IF(W108="","Spieler 106",W108))</f>
        <v>Spieler 106</v>
      </c>
      <c r="F40" s="77"/>
      <c r="G40" s="78"/>
      <c r="H40" s="79"/>
      <c r="I40" s="79"/>
      <c r="J40" s="79"/>
      <c r="K40" s="80"/>
      <c r="L40" s="71"/>
      <c r="N40" s="48">
        <f t="shared" si="0"/>
        <v>0</v>
      </c>
      <c r="O40" s="48">
        <f t="shared" si="1"/>
        <v>0</v>
      </c>
      <c r="P40" s="48">
        <f t="shared" si="2"/>
        <v>0</v>
      </c>
      <c r="Q40" s="48">
        <f t="shared" si="3"/>
        <v>0</v>
      </c>
      <c r="R40" s="48">
        <f t="shared" si="4"/>
        <v>0</v>
      </c>
      <c r="S40" s="48">
        <f t="shared" si="5"/>
        <v>0</v>
      </c>
      <c r="T40" s="72">
        <f t="shared" si="6"/>
        <v>0</v>
      </c>
      <c r="U40" s="72">
        <f t="shared" si="7"/>
        <v>0</v>
      </c>
      <c r="V40" s="48">
        <v>38</v>
      </c>
      <c r="W40" s="48" t="str">
        <f>IF(Spielereingabe!F46="","Spieler 38",Spielereingabe!F46)</f>
        <v>Spieler 38</v>
      </c>
      <c r="X40" s="48">
        <f t="shared" si="16"/>
        <v>0</v>
      </c>
      <c r="Y40" s="48">
        <f t="shared" si="17"/>
        <v>0</v>
      </c>
      <c r="Z40" s="48">
        <f t="shared" si="18"/>
        <v>0</v>
      </c>
      <c r="AA40" s="48">
        <f t="shared" si="13"/>
        <v>0</v>
      </c>
      <c r="AB40" s="48">
        <f t="shared" si="19"/>
        <v>0</v>
      </c>
      <c r="AC40" s="48">
        <f t="shared" si="20"/>
        <v>0</v>
      </c>
      <c r="AD40" s="48">
        <f t="shared" si="14"/>
        <v>0</v>
      </c>
      <c r="AE40" s="73">
        <f t="shared" si="15"/>
        <v>0</v>
      </c>
      <c r="AG40" s="238"/>
      <c r="AH40" s="239"/>
    </row>
    <row r="41" spans="3:34" ht="10.5" thickBot="1">
      <c r="C41" s="74">
        <v>39</v>
      </c>
      <c r="D41" s="75" t="str">
        <f>IF(W28="Freilos","Freilos",IF(W28="","Spieler 26",W28))</f>
        <v>Spieler 26</v>
      </c>
      <c r="E41" s="76" t="str">
        <f>IF(W92="Freilos","Freilos",IF(W92="","Spieler 90",W92))</f>
        <v>Spieler 90</v>
      </c>
      <c r="F41" s="77"/>
      <c r="G41" s="78"/>
      <c r="H41" s="79"/>
      <c r="I41" s="79"/>
      <c r="J41" s="79"/>
      <c r="K41" s="80"/>
      <c r="L41" s="71"/>
      <c r="N41" s="48">
        <f t="shared" si="0"/>
        <v>0</v>
      </c>
      <c r="O41" s="48">
        <f t="shared" si="1"/>
        <v>0</v>
      </c>
      <c r="P41" s="48">
        <f t="shared" si="2"/>
        <v>0</v>
      </c>
      <c r="Q41" s="48">
        <f t="shared" si="3"/>
        <v>0</v>
      </c>
      <c r="R41" s="48">
        <f t="shared" si="4"/>
        <v>0</v>
      </c>
      <c r="S41" s="48">
        <f t="shared" si="5"/>
        <v>0</v>
      </c>
      <c r="T41" s="72">
        <f t="shared" si="6"/>
        <v>0</v>
      </c>
      <c r="U41" s="72">
        <f t="shared" si="7"/>
        <v>0</v>
      </c>
      <c r="V41" s="48">
        <v>39</v>
      </c>
      <c r="W41" s="48" t="str">
        <f>IF(Spielereingabe!F47="","Spieler 39",Spielereingabe!F47)</f>
        <v>Spieler 39</v>
      </c>
      <c r="X41" s="48">
        <f t="shared" si="16"/>
        <v>0</v>
      </c>
      <c r="Y41" s="48">
        <f t="shared" si="17"/>
        <v>0</v>
      </c>
      <c r="Z41" s="48">
        <f t="shared" si="18"/>
        <v>0</v>
      </c>
      <c r="AA41" s="48">
        <f t="shared" si="13"/>
        <v>0</v>
      </c>
      <c r="AB41" s="48">
        <f t="shared" si="19"/>
        <v>0</v>
      </c>
      <c r="AC41" s="48">
        <f t="shared" si="20"/>
        <v>0</v>
      </c>
      <c r="AD41" s="48">
        <f t="shared" si="14"/>
        <v>0</v>
      </c>
      <c r="AE41" s="73">
        <f t="shared" si="15"/>
        <v>0</v>
      </c>
      <c r="AG41" s="238"/>
      <c r="AH41" s="239"/>
    </row>
    <row r="42" spans="3:34" ht="10.5" thickBot="1">
      <c r="C42" s="74">
        <v>40</v>
      </c>
      <c r="D42" s="75" t="str">
        <f>IF(W60="Freilos","Freilos",IF(W60="","Spieler 58",W60))</f>
        <v>Spieler 58</v>
      </c>
      <c r="E42" s="76" t="str">
        <f>IF(W124="Freilos","Freilos",IF(W124="","Spieler 122",W124))</f>
        <v>Spieler 122</v>
      </c>
      <c r="F42" s="77"/>
      <c r="G42" s="78"/>
      <c r="H42" s="79"/>
      <c r="I42" s="79"/>
      <c r="J42" s="79"/>
      <c r="K42" s="80"/>
      <c r="L42" s="71"/>
      <c r="N42" s="48">
        <f t="shared" si="0"/>
        <v>0</v>
      </c>
      <c r="O42" s="48">
        <f t="shared" si="1"/>
        <v>0</v>
      </c>
      <c r="P42" s="48">
        <f t="shared" si="2"/>
        <v>0</v>
      </c>
      <c r="Q42" s="48">
        <f t="shared" si="3"/>
        <v>0</v>
      </c>
      <c r="R42" s="48">
        <f t="shared" si="4"/>
        <v>0</v>
      </c>
      <c r="S42" s="48">
        <f t="shared" si="5"/>
        <v>0</v>
      </c>
      <c r="T42" s="72">
        <f t="shared" si="6"/>
        <v>0</v>
      </c>
      <c r="U42" s="72">
        <f t="shared" si="7"/>
        <v>0</v>
      </c>
      <c r="V42" s="48">
        <v>40</v>
      </c>
      <c r="W42" s="48" t="str">
        <f>IF(Spielereingabe!F48="","Spieler 40",Spielereingabe!F48)</f>
        <v>Spieler 40</v>
      </c>
      <c r="X42" s="48">
        <f t="shared" si="16"/>
        <v>0</v>
      </c>
      <c r="Y42" s="48">
        <f t="shared" si="17"/>
        <v>0</v>
      </c>
      <c r="Z42" s="48">
        <f t="shared" si="18"/>
        <v>0</v>
      </c>
      <c r="AA42" s="48">
        <f t="shared" si="13"/>
        <v>0</v>
      </c>
      <c r="AB42" s="48">
        <f t="shared" si="19"/>
        <v>0</v>
      </c>
      <c r="AC42" s="48">
        <f t="shared" si="20"/>
        <v>0</v>
      </c>
      <c r="AD42" s="48">
        <f t="shared" si="14"/>
        <v>0</v>
      </c>
      <c r="AE42" s="73">
        <f t="shared" si="15"/>
        <v>0</v>
      </c>
      <c r="AG42" s="238"/>
      <c r="AH42" s="239"/>
    </row>
    <row r="43" spans="3:34" ht="10.5" thickBot="1">
      <c r="C43" s="74">
        <v>41</v>
      </c>
      <c r="D43" s="75" t="str">
        <f>IF(W8="Freilos","Freilos",IF(W8="","Spieler 61",W8))</f>
        <v>Spieler 6</v>
      </c>
      <c r="E43" s="76" t="str">
        <f>IF(W72="Freilos","Freilos",IF(W72="","Spieler 70",W72))</f>
        <v>Spieler 70</v>
      </c>
      <c r="F43" s="77"/>
      <c r="G43" s="78"/>
      <c r="H43" s="79"/>
      <c r="I43" s="79"/>
      <c r="J43" s="79"/>
      <c r="K43" s="80"/>
      <c r="L43" s="71"/>
      <c r="N43" s="48">
        <f t="shared" si="0"/>
        <v>0</v>
      </c>
      <c r="O43" s="48">
        <f t="shared" si="1"/>
        <v>0</v>
      </c>
      <c r="P43" s="48">
        <f t="shared" si="2"/>
        <v>0</v>
      </c>
      <c r="Q43" s="48">
        <f t="shared" si="3"/>
        <v>0</v>
      </c>
      <c r="R43" s="48">
        <f t="shared" si="4"/>
        <v>0</v>
      </c>
      <c r="S43" s="48">
        <f t="shared" si="5"/>
        <v>0</v>
      </c>
      <c r="T43" s="72">
        <f t="shared" si="6"/>
        <v>0</v>
      </c>
      <c r="U43" s="72">
        <f t="shared" si="7"/>
        <v>0</v>
      </c>
      <c r="V43" s="48">
        <v>41</v>
      </c>
      <c r="W43" s="48" t="str">
        <f>IF(Spielereingabe!F49="","Spieler 41",Spielereingabe!F49)</f>
        <v>Spieler 41</v>
      </c>
      <c r="X43" s="48">
        <f t="shared" si="16"/>
        <v>0</v>
      </c>
      <c r="Y43" s="48">
        <f t="shared" si="17"/>
        <v>0</v>
      </c>
      <c r="Z43" s="48">
        <f t="shared" si="18"/>
        <v>0</v>
      </c>
      <c r="AA43" s="48">
        <f t="shared" si="13"/>
        <v>0</v>
      </c>
      <c r="AB43" s="48">
        <f t="shared" si="19"/>
        <v>0</v>
      </c>
      <c r="AC43" s="48">
        <f t="shared" si="20"/>
        <v>0</v>
      </c>
      <c r="AD43" s="48">
        <f t="shared" si="14"/>
        <v>0</v>
      </c>
      <c r="AE43" s="73">
        <f t="shared" si="15"/>
        <v>0</v>
      </c>
      <c r="AG43" s="238"/>
      <c r="AH43" s="239"/>
    </row>
    <row r="44" spans="3:34" ht="10.5" thickBot="1">
      <c r="C44" s="74">
        <v>42</v>
      </c>
      <c r="D44" s="75" t="str">
        <f>IF(W40="Freilos","Freilos",IF(W40="","Spieler 38",W40))</f>
        <v>Spieler 38</v>
      </c>
      <c r="E44" s="76" t="str">
        <f>IF(W104="Freilos","Freilos",IF(W104="","Spieler 102",W104))</f>
        <v>Spieler 102</v>
      </c>
      <c r="F44" s="77"/>
      <c r="G44" s="78"/>
      <c r="H44" s="79"/>
      <c r="I44" s="79"/>
      <c r="J44" s="79"/>
      <c r="K44" s="80"/>
      <c r="L44" s="71"/>
      <c r="N44" s="48">
        <f t="shared" si="0"/>
        <v>0</v>
      </c>
      <c r="O44" s="48">
        <f t="shared" si="1"/>
        <v>0</v>
      </c>
      <c r="P44" s="48">
        <f t="shared" si="2"/>
        <v>0</v>
      </c>
      <c r="Q44" s="48">
        <f t="shared" si="3"/>
        <v>0</v>
      </c>
      <c r="R44" s="48">
        <f t="shared" si="4"/>
        <v>0</v>
      </c>
      <c r="S44" s="48">
        <f t="shared" si="5"/>
        <v>0</v>
      </c>
      <c r="T44" s="72">
        <f t="shared" si="6"/>
        <v>0</v>
      </c>
      <c r="U44" s="72">
        <f t="shared" si="7"/>
        <v>0</v>
      </c>
      <c r="V44" s="48">
        <v>42</v>
      </c>
      <c r="W44" s="48" t="str">
        <f>IF(Spielereingabe!F50="","Spieler 42",Spielereingabe!F50)</f>
        <v>Spieler 42</v>
      </c>
      <c r="X44" s="48">
        <f t="shared" si="16"/>
        <v>0</v>
      </c>
      <c r="Y44" s="48">
        <f t="shared" si="17"/>
        <v>0</v>
      </c>
      <c r="Z44" s="48">
        <f t="shared" si="18"/>
        <v>0</v>
      </c>
      <c r="AA44" s="48">
        <f t="shared" si="13"/>
        <v>0</v>
      </c>
      <c r="AB44" s="48">
        <f t="shared" si="19"/>
        <v>0</v>
      </c>
      <c r="AC44" s="48">
        <f t="shared" si="20"/>
        <v>0</v>
      </c>
      <c r="AD44" s="48">
        <f t="shared" si="14"/>
        <v>0</v>
      </c>
      <c r="AE44" s="73">
        <f t="shared" si="15"/>
        <v>0</v>
      </c>
      <c r="AG44" s="238"/>
      <c r="AH44" s="239"/>
    </row>
    <row r="45" spans="3:34" ht="10.5" thickBot="1">
      <c r="C45" s="74">
        <v>43</v>
      </c>
      <c r="D45" s="75" t="str">
        <f>IF(W24="Freilos","Freilos",IF(W24="","Spieler 22",W24))</f>
        <v>Spieler 22</v>
      </c>
      <c r="E45" s="76" t="str">
        <f>IF(W88="Freilos","Freilos",IF(W88="","Spieler 86",W88))</f>
        <v>Spieler 86</v>
      </c>
      <c r="F45" s="77"/>
      <c r="G45" s="78"/>
      <c r="H45" s="79"/>
      <c r="I45" s="79"/>
      <c r="J45" s="79"/>
      <c r="K45" s="80"/>
      <c r="L45" s="71"/>
      <c r="N45" s="48">
        <f t="shared" si="0"/>
        <v>0</v>
      </c>
      <c r="O45" s="48">
        <f t="shared" si="1"/>
        <v>0</v>
      </c>
      <c r="P45" s="48">
        <f t="shared" si="2"/>
        <v>0</v>
      </c>
      <c r="Q45" s="48">
        <f t="shared" si="3"/>
        <v>0</v>
      </c>
      <c r="R45" s="48">
        <f t="shared" si="4"/>
        <v>0</v>
      </c>
      <c r="S45" s="48">
        <f t="shared" si="5"/>
        <v>0</v>
      </c>
      <c r="T45" s="72">
        <f t="shared" si="6"/>
        <v>0</v>
      </c>
      <c r="U45" s="72">
        <f t="shared" si="7"/>
        <v>0</v>
      </c>
      <c r="V45" s="48">
        <v>43</v>
      </c>
      <c r="W45" s="48" t="str">
        <f>IF(Spielereingabe!F51="","Spieler 43",Spielereingabe!F51)</f>
        <v>Spieler 43</v>
      </c>
      <c r="X45" s="48">
        <f t="shared" si="16"/>
        <v>0</v>
      </c>
      <c r="Y45" s="48">
        <f t="shared" si="17"/>
        <v>0</v>
      </c>
      <c r="Z45" s="48">
        <f t="shared" si="18"/>
        <v>0</v>
      </c>
      <c r="AA45" s="48">
        <f t="shared" si="13"/>
        <v>0</v>
      </c>
      <c r="AB45" s="48">
        <f t="shared" si="19"/>
        <v>0</v>
      </c>
      <c r="AC45" s="48">
        <f t="shared" si="20"/>
        <v>0</v>
      </c>
      <c r="AD45" s="48">
        <f t="shared" si="14"/>
        <v>0</v>
      </c>
      <c r="AE45" s="73">
        <f t="shared" si="15"/>
        <v>0</v>
      </c>
      <c r="AG45" s="238"/>
      <c r="AH45" s="239"/>
    </row>
    <row r="46" spans="3:34" ht="10.5" thickBot="1">
      <c r="C46" s="74">
        <v>44</v>
      </c>
      <c r="D46" s="75" t="str">
        <f>IF(W56="Freilos","Freilos",IF(W56="","Spieler 54",W56))</f>
        <v>Spieler 54</v>
      </c>
      <c r="E46" s="76" t="str">
        <f>IF(W120="Freilos","Freilos",IF(W120="","Spieler 118",W120))</f>
        <v>Spieler 118</v>
      </c>
      <c r="F46" s="77"/>
      <c r="G46" s="78"/>
      <c r="H46" s="79"/>
      <c r="I46" s="79"/>
      <c r="J46" s="79"/>
      <c r="K46" s="80"/>
      <c r="L46" s="71"/>
      <c r="N46" s="48">
        <f t="shared" si="0"/>
        <v>0</v>
      </c>
      <c r="O46" s="48">
        <f t="shared" si="1"/>
        <v>0</v>
      </c>
      <c r="P46" s="48">
        <f t="shared" si="2"/>
        <v>0</v>
      </c>
      <c r="Q46" s="48">
        <f t="shared" si="3"/>
        <v>0</v>
      </c>
      <c r="R46" s="48">
        <f t="shared" si="4"/>
        <v>0</v>
      </c>
      <c r="S46" s="48">
        <f t="shared" si="5"/>
        <v>0</v>
      </c>
      <c r="T46" s="72">
        <f t="shared" si="6"/>
        <v>0</v>
      </c>
      <c r="U46" s="72">
        <f t="shared" si="7"/>
        <v>0</v>
      </c>
      <c r="V46" s="48">
        <v>44</v>
      </c>
      <c r="W46" s="48" t="str">
        <f>IF(Spielereingabe!F52="","Spieler 44",Spielereingabe!F52)</f>
        <v>Spieler 44</v>
      </c>
      <c r="X46" s="48">
        <f t="shared" si="16"/>
        <v>0</v>
      </c>
      <c r="Y46" s="48">
        <f t="shared" si="17"/>
        <v>0</v>
      </c>
      <c r="Z46" s="48">
        <f t="shared" si="18"/>
        <v>0</v>
      </c>
      <c r="AA46" s="48">
        <f t="shared" si="13"/>
        <v>0</v>
      </c>
      <c r="AB46" s="48">
        <f t="shared" si="19"/>
        <v>0</v>
      </c>
      <c r="AC46" s="48">
        <f t="shared" si="20"/>
        <v>0</v>
      </c>
      <c r="AD46" s="48">
        <f t="shared" si="14"/>
        <v>0</v>
      </c>
      <c r="AE46" s="73">
        <f t="shared" si="15"/>
        <v>0</v>
      </c>
      <c r="AG46" s="238"/>
      <c r="AH46" s="239"/>
    </row>
    <row r="47" spans="3:34" ht="10.5" thickBot="1">
      <c r="C47" s="74">
        <v>45</v>
      </c>
      <c r="D47" s="75" t="str">
        <f>IF(W16="Freilos","Freilos",IF(W16="","Spieler 14",W16))</f>
        <v>Spieler 14</v>
      </c>
      <c r="E47" s="76" t="str">
        <f>IF(W80="Freilos","Freilos",IF(W80="","Spieler 78",W80))</f>
        <v>Spieler 78</v>
      </c>
      <c r="F47" s="77"/>
      <c r="G47" s="78"/>
      <c r="H47" s="79"/>
      <c r="I47" s="79"/>
      <c r="J47" s="79"/>
      <c r="K47" s="80"/>
      <c r="L47" s="71"/>
      <c r="N47" s="48">
        <f t="shared" si="0"/>
        <v>0</v>
      </c>
      <c r="O47" s="48">
        <f t="shared" si="1"/>
        <v>0</v>
      </c>
      <c r="P47" s="48">
        <f t="shared" si="2"/>
        <v>0</v>
      </c>
      <c r="Q47" s="48">
        <f t="shared" si="3"/>
        <v>0</v>
      </c>
      <c r="R47" s="48">
        <f t="shared" si="4"/>
        <v>0</v>
      </c>
      <c r="S47" s="48">
        <f t="shared" si="5"/>
        <v>0</v>
      </c>
      <c r="T47" s="72">
        <f t="shared" si="6"/>
        <v>0</v>
      </c>
      <c r="U47" s="72">
        <f t="shared" si="7"/>
        <v>0</v>
      </c>
      <c r="V47" s="48">
        <v>45</v>
      </c>
      <c r="W47" s="48" t="str">
        <f>IF(Spielereingabe!F53="","Spieler 45",Spielereingabe!F53)</f>
        <v>Spieler 45</v>
      </c>
      <c r="X47" s="48">
        <f t="shared" si="16"/>
        <v>0</v>
      </c>
      <c r="Y47" s="48">
        <f t="shared" si="17"/>
        <v>0</v>
      </c>
      <c r="Z47" s="48">
        <f t="shared" si="18"/>
        <v>0</v>
      </c>
      <c r="AA47" s="48">
        <f t="shared" si="13"/>
        <v>0</v>
      </c>
      <c r="AB47" s="48">
        <f t="shared" si="19"/>
        <v>0</v>
      </c>
      <c r="AC47" s="48">
        <f t="shared" si="20"/>
        <v>0</v>
      </c>
      <c r="AD47" s="48">
        <f t="shared" si="14"/>
        <v>0</v>
      </c>
      <c r="AE47" s="73">
        <f t="shared" si="15"/>
        <v>0</v>
      </c>
      <c r="AG47" s="238"/>
      <c r="AH47" s="239"/>
    </row>
    <row r="48" spans="3:34" ht="10.5" thickBot="1">
      <c r="C48" s="74">
        <v>46</v>
      </c>
      <c r="D48" s="75" t="str">
        <f>IF(W50="Freilos","Freilos",IF(W50="","Spieler 48",W50))</f>
        <v>Spieler 48</v>
      </c>
      <c r="E48" s="76" t="str">
        <f>IF(W114="Freilos","Freilos",IF(W114="","Spieler 112",W114))</f>
        <v>Spieler 112</v>
      </c>
      <c r="F48" s="77"/>
      <c r="G48" s="78"/>
      <c r="H48" s="79"/>
      <c r="I48" s="79"/>
      <c r="J48" s="79"/>
      <c r="K48" s="80"/>
      <c r="L48" s="71"/>
      <c r="N48" s="48">
        <f t="shared" si="0"/>
        <v>0</v>
      </c>
      <c r="O48" s="48">
        <f t="shared" si="1"/>
        <v>0</v>
      </c>
      <c r="P48" s="48">
        <f t="shared" si="2"/>
        <v>0</v>
      </c>
      <c r="Q48" s="48">
        <f t="shared" si="3"/>
        <v>0</v>
      </c>
      <c r="R48" s="48">
        <f t="shared" si="4"/>
        <v>0</v>
      </c>
      <c r="S48" s="48">
        <f t="shared" si="5"/>
        <v>0</v>
      </c>
      <c r="T48" s="72">
        <f t="shared" si="6"/>
        <v>0</v>
      </c>
      <c r="U48" s="72">
        <f t="shared" si="7"/>
        <v>0</v>
      </c>
      <c r="V48" s="48">
        <v>46</v>
      </c>
      <c r="W48" s="48" t="str">
        <f>IF(Spielereingabe!F54="","Spieler 46",Spielereingabe!F54)</f>
        <v>Spieler 46</v>
      </c>
      <c r="X48" s="48">
        <f t="shared" si="16"/>
        <v>0</v>
      </c>
      <c r="Y48" s="48">
        <f t="shared" si="17"/>
        <v>0</v>
      </c>
      <c r="Z48" s="48">
        <f t="shared" si="18"/>
        <v>0</v>
      </c>
      <c r="AA48" s="48">
        <f t="shared" si="13"/>
        <v>0</v>
      </c>
      <c r="AB48" s="48">
        <f t="shared" si="19"/>
        <v>0</v>
      </c>
      <c r="AC48" s="48">
        <f t="shared" si="20"/>
        <v>0</v>
      </c>
      <c r="AD48" s="48">
        <f t="shared" si="14"/>
        <v>0</v>
      </c>
      <c r="AE48" s="73">
        <f t="shared" si="15"/>
        <v>0</v>
      </c>
      <c r="AG48" s="238"/>
      <c r="AH48" s="239"/>
    </row>
    <row r="49" spans="3:34" ht="10.5" thickBot="1">
      <c r="C49" s="74">
        <v>47</v>
      </c>
      <c r="D49" s="75" t="str">
        <f>IF(W32="Freilos","Freilos",IF(W32="","Spieler 30",W32))</f>
        <v>Spieler 30</v>
      </c>
      <c r="E49" s="76" t="str">
        <f>IF(W96="Freilos","Freilos",IF(W96="","Spieler 94",W96))</f>
        <v>Spieler 94</v>
      </c>
      <c r="F49" s="77"/>
      <c r="G49" s="78"/>
      <c r="H49" s="79"/>
      <c r="I49" s="79"/>
      <c r="J49" s="79"/>
      <c r="K49" s="80"/>
      <c r="L49" s="71"/>
      <c r="N49" s="48">
        <f t="shared" si="0"/>
        <v>0</v>
      </c>
      <c r="O49" s="48">
        <f t="shared" si="1"/>
        <v>0</v>
      </c>
      <c r="P49" s="48">
        <f t="shared" si="2"/>
        <v>0</v>
      </c>
      <c r="Q49" s="48">
        <f t="shared" si="3"/>
        <v>0</v>
      </c>
      <c r="R49" s="48">
        <f t="shared" si="4"/>
        <v>0</v>
      </c>
      <c r="S49" s="48">
        <f t="shared" si="5"/>
        <v>0</v>
      </c>
      <c r="T49" s="72">
        <f t="shared" si="6"/>
        <v>0</v>
      </c>
      <c r="U49" s="72">
        <f t="shared" si="7"/>
        <v>0</v>
      </c>
      <c r="V49" s="48">
        <v>47</v>
      </c>
      <c r="W49" s="48" t="str">
        <f>IF(Spielereingabe!F55="","Spieler 47",Spielereingabe!F55)</f>
        <v>Spieler 47</v>
      </c>
      <c r="X49" s="48">
        <f t="shared" si="16"/>
        <v>0</v>
      </c>
      <c r="Y49" s="48">
        <f t="shared" si="17"/>
        <v>0</v>
      </c>
      <c r="Z49" s="48">
        <f t="shared" si="18"/>
        <v>0</v>
      </c>
      <c r="AA49" s="48">
        <f t="shared" si="13"/>
        <v>0</v>
      </c>
      <c r="AB49" s="48">
        <f t="shared" si="19"/>
        <v>0</v>
      </c>
      <c r="AC49" s="48">
        <f t="shared" si="20"/>
        <v>0</v>
      </c>
      <c r="AD49" s="48">
        <f t="shared" si="14"/>
        <v>0</v>
      </c>
      <c r="AE49" s="73">
        <f t="shared" si="15"/>
        <v>0</v>
      </c>
      <c r="AG49" s="238"/>
      <c r="AH49" s="239"/>
    </row>
    <row r="50" spans="3:34" ht="10.5" thickBot="1">
      <c r="C50" s="74">
        <v>48</v>
      </c>
      <c r="D50" s="75" t="str">
        <f>IF(W64="Freilos","Freilos",IF(W64="","Spieler 62",W64))</f>
        <v>Spieler 62</v>
      </c>
      <c r="E50" s="76" t="str">
        <f>IF(W128="Freilos","Freilos",IF(W128="","Spieler 126",W128))</f>
        <v>Spieler 126</v>
      </c>
      <c r="F50" s="77"/>
      <c r="G50" s="78"/>
      <c r="H50" s="79"/>
      <c r="I50" s="79"/>
      <c r="J50" s="79"/>
      <c r="K50" s="80"/>
      <c r="L50" s="71"/>
      <c r="N50" s="48">
        <f t="shared" si="0"/>
        <v>0</v>
      </c>
      <c r="O50" s="48">
        <f t="shared" si="1"/>
        <v>0</v>
      </c>
      <c r="P50" s="48">
        <f t="shared" si="2"/>
        <v>0</v>
      </c>
      <c r="Q50" s="48">
        <f t="shared" si="3"/>
        <v>0</v>
      </c>
      <c r="R50" s="48">
        <f t="shared" si="4"/>
        <v>0</v>
      </c>
      <c r="S50" s="48">
        <f t="shared" si="5"/>
        <v>0</v>
      </c>
      <c r="T50" s="72">
        <f t="shared" si="6"/>
        <v>0</v>
      </c>
      <c r="U50" s="72">
        <f t="shared" si="7"/>
        <v>0</v>
      </c>
      <c r="V50" s="48">
        <v>48</v>
      </c>
      <c r="W50" s="48" t="str">
        <f>IF(Spielereingabe!F56="","Spieler 48",Spielereingabe!F56)</f>
        <v>Spieler 48</v>
      </c>
      <c r="X50" s="48">
        <f t="shared" si="16"/>
        <v>0</v>
      </c>
      <c r="Y50" s="48">
        <f t="shared" si="17"/>
        <v>0</v>
      </c>
      <c r="Z50" s="48">
        <f t="shared" si="18"/>
        <v>0</v>
      </c>
      <c r="AA50" s="48">
        <f t="shared" si="13"/>
        <v>0</v>
      </c>
      <c r="AB50" s="48">
        <f t="shared" si="19"/>
        <v>0</v>
      </c>
      <c r="AC50" s="48">
        <f t="shared" si="20"/>
        <v>0</v>
      </c>
      <c r="AD50" s="48">
        <f t="shared" si="14"/>
        <v>0</v>
      </c>
      <c r="AE50" s="73">
        <f t="shared" si="15"/>
        <v>0</v>
      </c>
      <c r="AG50" s="238"/>
      <c r="AH50" s="239"/>
    </row>
    <row r="51" spans="3:34" ht="10.5" thickBot="1">
      <c r="C51" s="74">
        <v>49</v>
      </c>
      <c r="D51" s="75" t="str">
        <f>IF(W6="Freilos","Freilos",IF(W6="","Spieler 4",W6))</f>
        <v>Spieler 4</v>
      </c>
      <c r="E51" s="76" t="str">
        <f>IF(W70="Freilos","Freilos",IF(W70="","Spieler 68",W70))</f>
        <v>Spieler 68</v>
      </c>
      <c r="F51" s="77"/>
      <c r="G51" s="78"/>
      <c r="H51" s="79"/>
      <c r="I51" s="79"/>
      <c r="J51" s="79"/>
      <c r="K51" s="80"/>
      <c r="L51" s="71"/>
      <c r="N51" s="48">
        <f t="shared" si="0"/>
        <v>0</v>
      </c>
      <c r="O51" s="48">
        <f t="shared" si="1"/>
        <v>0</v>
      </c>
      <c r="P51" s="48">
        <f t="shared" si="2"/>
        <v>0</v>
      </c>
      <c r="Q51" s="48">
        <f t="shared" si="3"/>
        <v>0</v>
      </c>
      <c r="R51" s="48">
        <f t="shared" si="4"/>
        <v>0</v>
      </c>
      <c r="S51" s="48">
        <f t="shared" si="5"/>
        <v>0</v>
      </c>
      <c r="T51" s="72">
        <f t="shared" si="6"/>
        <v>0</v>
      </c>
      <c r="U51" s="72">
        <f t="shared" si="7"/>
        <v>0</v>
      </c>
      <c r="V51" s="48">
        <v>49</v>
      </c>
      <c r="W51" s="48" t="str">
        <f>IF(Spielereingabe!F57="","Spieler 49",Spielereingabe!F57)</f>
        <v>Spieler 49</v>
      </c>
      <c r="X51" s="48">
        <f t="shared" si="16"/>
        <v>0</v>
      </c>
      <c r="Y51" s="48">
        <f t="shared" si="17"/>
        <v>0</v>
      </c>
      <c r="Z51" s="48">
        <f t="shared" si="18"/>
        <v>0</v>
      </c>
      <c r="AA51" s="48">
        <f t="shared" si="13"/>
        <v>0</v>
      </c>
      <c r="AB51" s="48">
        <f t="shared" si="19"/>
        <v>0</v>
      </c>
      <c r="AC51" s="48">
        <f t="shared" si="20"/>
        <v>0</v>
      </c>
      <c r="AD51" s="48">
        <f t="shared" si="14"/>
        <v>0</v>
      </c>
      <c r="AE51" s="73">
        <f t="shared" si="15"/>
        <v>0</v>
      </c>
      <c r="AG51" s="238"/>
      <c r="AH51" s="239"/>
    </row>
    <row r="52" spans="3:34" ht="10.5" thickBot="1">
      <c r="C52" s="74">
        <v>50</v>
      </c>
      <c r="D52" s="75" t="str">
        <f>IF(W38="Freilos","Freilos",IF(W38="","Spieler 36",W38))</f>
        <v>Spieler 36</v>
      </c>
      <c r="E52" s="76" t="str">
        <f>IF(W102="Freilos","Freilos",IF(W102="","Spieler 100",W102))</f>
        <v>Spieler 100</v>
      </c>
      <c r="F52" s="77"/>
      <c r="G52" s="78"/>
      <c r="H52" s="79"/>
      <c r="I52" s="79"/>
      <c r="J52" s="79"/>
      <c r="K52" s="80"/>
      <c r="L52" s="71"/>
      <c r="N52" s="48">
        <f t="shared" si="0"/>
        <v>0</v>
      </c>
      <c r="O52" s="48">
        <f t="shared" si="1"/>
        <v>0</v>
      </c>
      <c r="P52" s="48">
        <f t="shared" si="2"/>
        <v>0</v>
      </c>
      <c r="Q52" s="48">
        <f t="shared" si="3"/>
        <v>0</v>
      </c>
      <c r="R52" s="48">
        <f t="shared" si="4"/>
        <v>0</v>
      </c>
      <c r="S52" s="48">
        <f t="shared" si="5"/>
        <v>0</v>
      </c>
      <c r="T52" s="72">
        <f t="shared" si="6"/>
        <v>0</v>
      </c>
      <c r="U52" s="72">
        <f t="shared" si="7"/>
        <v>0</v>
      </c>
      <c r="V52" s="48">
        <v>50</v>
      </c>
      <c r="W52" s="48" t="str">
        <f>IF(Spielereingabe!F58="","Spieler 50",Spielereingabe!F58)</f>
        <v>Spieler 50</v>
      </c>
      <c r="X52" s="48">
        <f t="shared" si="16"/>
        <v>0</v>
      </c>
      <c r="Y52" s="48">
        <f t="shared" si="17"/>
        <v>0</v>
      </c>
      <c r="Z52" s="48">
        <f t="shared" si="18"/>
        <v>0</v>
      </c>
      <c r="AA52" s="48">
        <f t="shared" si="13"/>
        <v>0</v>
      </c>
      <c r="AB52" s="48">
        <f t="shared" si="19"/>
        <v>0</v>
      </c>
      <c r="AC52" s="48">
        <f t="shared" si="20"/>
        <v>0</v>
      </c>
      <c r="AD52" s="48">
        <f t="shared" si="14"/>
        <v>0</v>
      </c>
      <c r="AE52" s="73">
        <f t="shared" si="15"/>
        <v>0</v>
      </c>
      <c r="AG52" s="238"/>
      <c r="AH52" s="239"/>
    </row>
    <row r="53" spans="3:34" ht="10.5" thickBot="1">
      <c r="C53" s="74">
        <v>51</v>
      </c>
      <c r="D53" s="75" t="str">
        <f>IF(W22="Freilos","Freilos",IF(W22="","Spieler 20",W22))</f>
        <v>Spieler 20</v>
      </c>
      <c r="E53" s="76" t="str">
        <f>IF(W86="Freilos","Freilos",IF(W86="","Spieler 84",W86))</f>
        <v>Spieler 84</v>
      </c>
      <c r="F53" s="77"/>
      <c r="G53" s="78"/>
      <c r="H53" s="79"/>
      <c r="I53" s="79"/>
      <c r="J53" s="79"/>
      <c r="K53" s="80"/>
      <c r="L53" s="71"/>
      <c r="N53" s="48">
        <f t="shared" si="0"/>
        <v>0</v>
      </c>
      <c r="O53" s="48">
        <f t="shared" si="1"/>
        <v>0</v>
      </c>
      <c r="P53" s="48">
        <f t="shared" si="2"/>
        <v>0</v>
      </c>
      <c r="Q53" s="48">
        <f t="shared" si="3"/>
        <v>0</v>
      </c>
      <c r="R53" s="48">
        <f t="shared" si="4"/>
        <v>0</v>
      </c>
      <c r="S53" s="48">
        <f t="shared" si="5"/>
        <v>0</v>
      </c>
      <c r="T53" s="72">
        <f t="shared" si="6"/>
        <v>0</v>
      </c>
      <c r="U53" s="72">
        <f t="shared" si="7"/>
        <v>0</v>
      </c>
      <c r="V53" s="48">
        <v>51</v>
      </c>
      <c r="W53" s="48" t="str">
        <f>IF(Spielereingabe!F59="","Spieler 51",Spielereingabe!F59)</f>
        <v>Spieler 51</v>
      </c>
      <c r="X53" s="48">
        <f t="shared" si="16"/>
        <v>0</v>
      </c>
      <c r="Y53" s="48">
        <f t="shared" si="17"/>
        <v>0</v>
      </c>
      <c r="Z53" s="48">
        <f t="shared" si="18"/>
        <v>0</v>
      </c>
      <c r="AA53" s="48">
        <f t="shared" si="13"/>
        <v>0</v>
      </c>
      <c r="AB53" s="48">
        <f t="shared" si="19"/>
        <v>0</v>
      </c>
      <c r="AC53" s="48">
        <f t="shared" si="20"/>
        <v>0</v>
      </c>
      <c r="AD53" s="48">
        <f t="shared" si="14"/>
        <v>0</v>
      </c>
      <c r="AE53" s="73">
        <f t="shared" si="15"/>
        <v>0</v>
      </c>
      <c r="AG53" s="238"/>
      <c r="AH53" s="239"/>
    </row>
    <row r="54" spans="3:34" ht="10.5" thickBot="1">
      <c r="C54" s="74">
        <v>52</v>
      </c>
      <c r="D54" s="75" t="str">
        <f>IF(W54="Freilos","Freilos",IF(W54="","Spieler 52",W54))</f>
        <v>Spieler 52</v>
      </c>
      <c r="E54" s="76" t="str">
        <f>IF(W118="Freilos","Freilos",IF(W118="","Spieler 116",W118))</f>
        <v>Spieler 116</v>
      </c>
      <c r="F54" s="77"/>
      <c r="G54" s="78"/>
      <c r="H54" s="79"/>
      <c r="I54" s="79"/>
      <c r="J54" s="79"/>
      <c r="K54" s="80"/>
      <c r="L54" s="71"/>
      <c r="N54" s="48">
        <f t="shared" si="0"/>
        <v>0</v>
      </c>
      <c r="O54" s="48">
        <f t="shared" si="1"/>
        <v>0</v>
      </c>
      <c r="P54" s="48">
        <f t="shared" si="2"/>
        <v>0</v>
      </c>
      <c r="Q54" s="48">
        <f t="shared" si="3"/>
        <v>0</v>
      </c>
      <c r="R54" s="48">
        <f t="shared" si="4"/>
        <v>0</v>
      </c>
      <c r="S54" s="48">
        <f t="shared" si="5"/>
        <v>0</v>
      </c>
      <c r="T54" s="72">
        <f t="shared" si="6"/>
        <v>0</v>
      </c>
      <c r="U54" s="72">
        <f t="shared" si="7"/>
        <v>0</v>
      </c>
      <c r="V54" s="48">
        <v>52</v>
      </c>
      <c r="W54" s="48" t="str">
        <f>IF(Spielereingabe!F60="","Spieler 52",Spielereingabe!F60)</f>
        <v>Spieler 52</v>
      </c>
      <c r="X54" s="48">
        <f t="shared" si="16"/>
        <v>0</v>
      </c>
      <c r="Y54" s="48">
        <f t="shared" si="17"/>
        <v>0</v>
      </c>
      <c r="Z54" s="48">
        <f t="shared" si="18"/>
        <v>0</v>
      </c>
      <c r="AA54" s="48">
        <f t="shared" si="13"/>
        <v>0</v>
      </c>
      <c r="AB54" s="48">
        <f t="shared" si="19"/>
        <v>0</v>
      </c>
      <c r="AC54" s="48">
        <f t="shared" si="20"/>
        <v>0</v>
      </c>
      <c r="AD54" s="48">
        <f t="shared" si="14"/>
        <v>0</v>
      </c>
      <c r="AE54" s="73">
        <f t="shared" si="15"/>
        <v>0</v>
      </c>
      <c r="AG54" s="238"/>
      <c r="AH54" s="239"/>
    </row>
    <row r="55" spans="3:34" ht="10.5" thickBot="1">
      <c r="C55" s="74">
        <v>53</v>
      </c>
      <c r="D55" s="75" t="str">
        <f>IF(W14="Freilos","Freilos",IF(W14="","Spieler 12",W14))</f>
        <v>Spieler 12</v>
      </c>
      <c r="E55" s="76" t="str">
        <f>IF(W78="Freilos","Freilos",IF(W78="","Spieler 76",W78))</f>
        <v>Spieler 76</v>
      </c>
      <c r="F55" s="77"/>
      <c r="G55" s="78"/>
      <c r="H55" s="79"/>
      <c r="I55" s="79"/>
      <c r="J55" s="79"/>
      <c r="K55" s="80"/>
      <c r="L55" s="71"/>
      <c r="N55" s="48">
        <f t="shared" si="0"/>
        <v>0</v>
      </c>
      <c r="O55" s="48">
        <f t="shared" si="1"/>
        <v>0</v>
      </c>
      <c r="P55" s="48">
        <f t="shared" si="2"/>
        <v>0</v>
      </c>
      <c r="Q55" s="48">
        <f t="shared" si="3"/>
        <v>0</v>
      </c>
      <c r="R55" s="48">
        <f t="shared" si="4"/>
        <v>0</v>
      </c>
      <c r="S55" s="48">
        <f t="shared" si="5"/>
        <v>0</v>
      </c>
      <c r="T55" s="72">
        <f t="shared" si="6"/>
        <v>0</v>
      </c>
      <c r="U55" s="72">
        <f t="shared" si="7"/>
        <v>0</v>
      </c>
      <c r="V55" s="48">
        <v>53</v>
      </c>
      <c r="W55" s="48" t="str">
        <f>IF(Spielereingabe!F61="","Spieler 53",Spielereingabe!F61)</f>
        <v>Spieler 53</v>
      </c>
      <c r="X55" s="48">
        <f t="shared" si="16"/>
        <v>0</v>
      </c>
      <c r="Y55" s="48">
        <f t="shared" si="17"/>
        <v>0</v>
      </c>
      <c r="Z55" s="48">
        <f t="shared" si="18"/>
        <v>0</v>
      </c>
      <c r="AA55" s="48">
        <f t="shared" si="13"/>
        <v>0</v>
      </c>
      <c r="AB55" s="48">
        <f t="shared" si="19"/>
        <v>0</v>
      </c>
      <c r="AC55" s="48">
        <f t="shared" si="20"/>
        <v>0</v>
      </c>
      <c r="AD55" s="48">
        <f t="shared" si="14"/>
        <v>0</v>
      </c>
      <c r="AE55" s="73">
        <f t="shared" si="15"/>
        <v>0</v>
      </c>
      <c r="AG55" s="238"/>
      <c r="AH55" s="239"/>
    </row>
    <row r="56" spans="3:34" ht="10.5" thickBot="1">
      <c r="C56" s="74">
        <v>54</v>
      </c>
      <c r="D56" s="75" t="str">
        <f>IF(W46="Freilos","Freilos",IF(W46="","Spieler 44",W46))</f>
        <v>Spieler 44</v>
      </c>
      <c r="E56" s="76" t="str">
        <f>IF(W110="Freilos","Freilos",IF(W110="","Spieler 108",W110))</f>
        <v>Spieler 108</v>
      </c>
      <c r="F56" s="77"/>
      <c r="G56" s="78"/>
      <c r="H56" s="79"/>
      <c r="I56" s="79"/>
      <c r="J56" s="79"/>
      <c r="K56" s="80"/>
      <c r="L56" s="71"/>
      <c r="N56" s="48">
        <f t="shared" si="0"/>
        <v>0</v>
      </c>
      <c r="O56" s="48">
        <f t="shared" si="1"/>
        <v>0</v>
      </c>
      <c r="P56" s="48">
        <f t="shared" si="2"/>
        <v>0</v>
      </c>
      <c r="Q56" s="48">
        <f t="shared" si="3"/>
        <v>0</v>
      </c>
      <c r="R56" s="48">
        <f t="shared" si="4"/>
        <v>0</v>
      </c>
      <c r="S56" s="48">
        <f t="shared" si="5"/>
        <v>0</v>
      </c>
      <c r="T56" s="72">
        <f t="shared" si="6"/>
        <v>0</v>
      </c>
      <c r="U56" s="72">
        <f t="shared" si="7"/>
        <v>0</v>
      </c>
      <c r="V56" s="48">
        <v>54</v>
      </c>
      <c r="W56" s="48" t="str">
        <f>IF(Spielereingabe!F62="","Spieler 54",Spielereingabe!F62)</f>
        <v>Spieler 54</v>
      </c>
      <c r="X56" s="48">
        <f t="shared" si="16"/>
        <v>0</v>
      </c>
      <c r="Y56" s="48">
        <f t="shared" si="17"/>
        <v>0</v>
      </c>
      <c r="Z56" s="48">
        <f t="shared" si="18"/>
        <v>0</v>
      </c>
      <c r="AA56" s="48">
        <f t="shared" si="13"/>
        <v>0</v>
      </c>
      <c r="AB56" s="48">
        <f t="shared" si="19"/>
        <v>0</v>
      </c>
      <c r="AC56" s="48">
        <f t="shared" si="20"/>
        <v>0</v>
      </c>
      <c r="AD56" s="48">
        <f t="shared" si="14"/>
        <v>0</v>
      </c>
      <c r="AE56" s="73">
        <f t="shared" si="15"/>
        <v>0</v>
      </c>
      <c r="AG56" s="238"/>
      <c r="AH56" s="239"/>
    </row>
    <row r="57" spans="3:34" ht="10.5" thickBot="1">
      <c r="C57" s="74">
        <v>55</v>
      </c>
      <c r="D57" s="75" t="str">
        <f>IF(W30="Freilos","Freilos",IF(W30="","Spieler 28",W30))</f>
        <v>Spieler 28</v>
      </c>
      <c r="E57" s="76" t="str">
        <f>IF(W94="Freilos","Freilos",IF(W94="","Spieler 92",W94))</f>
        <v>Spieler 92</v>
      </c>
      <c r="F57" s="77"/>
      <c r="G57" s="78"/>
      <c r="H57" s="79"/>
      <c r="I57" s="79"/>
      <c r="J57" s="79"/>
      <c r="K57" s="80"/>
      <c r="L57" s="71"/>
      <c r="N57" s="48">
        <f t="shared" si="0"/>
        <v>0</v>
      </c>
      <c r="O57" s="48">
        <f t="shared" si="1"/>
        <v>0</v>
      </c>
      <c r="P57" s="48">
        <f t="shared" si="2"/>
        <v>0</v>
      </c>
      <c r="Q57" s="48">
        <f t="shared" si="3"/>
        <v>0</v>
      </c>
      <c r="R57" s="48">
        <f t="shared" si="4"/>
        <v>0</v>
      </c>
      <c r="S57" s="48">
        <f t="shared" si="5"/>
        <v>0</v>
      </c>
      <c r="T57" s="72">
        <f t="shared" si="6"/>
        <v>0</v>
      </c>
      <c r="U57" s="72">
        <f t="shared" si="7"/>
        <v>0</v>
      </c>
      <c r="V57" s="48">
        <v>55</v>
      </c>
      <c r="W57" s="48" t="str">
        <f>IF(Spielereingabe!F63="","Spieler 55",Spielereingabe!F63)</f>
        <v>Spieler 55</v>
      </c>
      <c r="X57" s="48">
        <f t="shared" si="16"/>
        <v>0</v>
      </c>
      <c r="Y57" s="48">
        <f t="shared" si="17"/>
        <v>0</v>
      </c>
      <c r="Z57" s="48">
        <f t="shared" si="18"/>
        <v>0</v>
      </c>
      <c r="AA57" s="48">
        <f t="shared" si="13"/>
        <v>0</v>
      </c>
      <c r="AB57" s="48">
        <f t="shared" si="19"/>
        <v>0</v>
      </c>
      <c r="AC57" s="48">
        <f t="shared" si="20"/>
        <v>0</v>
      </c>
      <c r="AD57" s="48">
        <f t="shared" si="14"/>
        <v>0</v>
      </c>
      <c r="AE57" s="73">
        <f t="shared" si="15"/>
        <v>0</v>
      </c>
      <c r="AG57" s="238"/>
      <c r="AH57" s="239"/>
    </row>
    <row r="58" spans="3:34" ht="10.5" thickBot="1">
      <c r="C58" s="74">
        <v>56</v>
      </c>
      <c r="D58" s="75" t="str">
        <f>IF(W62="Freilos","Freilos",IF(W62="","Spieler 60",W62))</f>
        <v>Spieler 60</v>
      </c>
      <c r="E58" s="76" t="str">
        <f>IF(W126="Freilos","Freilos",IF(W126="","Spieler 124",W126))</f>
        <v>Spieler 124</v>
      </c>
      <c r="F58" s="77"/>
      <c r="G58" s="78"/>
      <c r="H58" s="79"/>
      <c r="I58" s="79"/>
      <c r="J58" s="79"/>
      <c r="K58" s="80"/>
      <c r="L58" s="71"/>
      <c r="N58" s="48">
        <f t="shared" si="0"/>
        <v>0</v>
      </c>
      <c r="O58" s="48">
        <f t="shared" si="1"/>
        <v>0</v>
      </c>
      <c r="P58" s="48">
        <f t="shared" si="2"/>
        <v>0</v>
      </c>
      <c r="Q58" s="48">
        <f t="shared" si="3"/>
        <v>0</v>
      </c>
      <c r="R58" s="48">
        <f t="shared" si="4"/>
        <v>0</v>
      </c>
      <c r="S58" s="48">
        <f t="shared" si="5"/>
        <v>0</v>
      </c>
      <c r="T58" s="72">
        <f t="shared" si="6"/>
        <v>0</v>
      </c>
      <c r="U58" s="72">
        <f t="shared" si="7"/>
        <v>0</v>
      </c>
      <c r="V58" s="48">
        <v>56</v>
      </c>
      <c r="W58" s="48" t="str">
        <f>IF(Spielereingabe!F64="","Spieler 56",Spielereingabe!F64)</f>
        <v>Spieler 56</v>
      </c>
      <c r="X58" s="48">
        <f t="shared" si="16"/>
        <v>0</v>
      </c>
      <c r="Y58" s="48">
        <f t="shared" si="17"/>
        <v>0</v>
      </c>
      <c r="Z58" s="48">
        <f t="shared" si="18"/>
        <v>0</v>
      </c>
      <c r="AA58" s="48">
        <f t="shared" si="13"/>
        <v>0</v>
      </c>
      <c r="AB58" s="48">
        <f t="shared" si="19"/>
        <v>0</v>
      </c>
      <c r="AC58" s="48">
        <f t="shared" si="20"/>
        <v>0</v>
      </c>
      <c r="AD58" s="48">
        <f t="shared" si="14"/>
        <v>0</v>
      </c>
      <c r="AE58" s="73">
        <f t="shared" si="15"/>
        <v>0</v>
      </c>
      <c r="AG58" s="238"/>
      <c r="AH58" s="239"/>
    </row>
    <row r="59" spans="3:34" ht="10.5" thickBot="1">
      <c r="C59" s="74">
        <v>57</v>
      </c>
      <c r="D59" s="75" t="str">
        <f>IF(W10="Freilos","Freilos",IF(W10="","Spieler 8",W10))</f>
        <v>Spieler 8</v>
      </c>
      <c r="E59" s="76" t="str">
        <f>IF(W74="Freilos","Freilos",IF(W74="","Spieler 72",W74))</f>
        <v>Spieler 72</v>
      </c>
      <c r="F59" s="77"/>
      <c r="G59" s="78"/>
      <c r="H59" s="79"/>
      <c r="I59" s="79"/>
      <c r="J59" s="79"/>
      <c r="K59" s="80"/>
      <c r="L59" s="71"/>
      <c r="N59" s="48">
        <f t="shared" si="0"/>
        <v>0</v>
      </c>
      <c r="O59" s="48">
        <f t="shared" si="1"/>
        <v>0</v>
      </c>
      <c r="P59" s="48">
        <f t="shared" si="2"/>
        <v>0</v>
      </c>
      <c r="Q59" s="48">
        <f t="shared" si="3"/>
        <v>0</v>
      </c>
      <c r="R59" s="48">
        <f t="shared" si="4"/>
        <v>0</v>
      </c>
      <c r="S59" s="48">
        <f t="shared" si="5"/>
        <v>0</v>
      </c>
      <c r="T59" s="72">
        <f t="shared" si="6"/>
        <v>0</v>
      </c>
      <c r="U59" s="72">
        <f t="shared" si="7"/>
        <v>0</v>
      </c>
      <c r="V59" s="48">
        <v>57</v>
      </c>
      <c r="W59" s="48" t="str">
        <f>IF(Spielereingabe!F65="","Spieler 57",Spielereingabe!F65)</f>
        <v>Spieler 57</v>
      </c>
      <c r="X59" s="48">
        <f t="shared" si="16"/>
        <v>0</v>
      </c>
      <c r="Y59" s="48">
        <f t="shared" si="17"/>
        <v>0</v>
      </c>
      <c r="Z59" s="48">
        <f t="shared" si="18"/>
        <v>0</v>
      </c>
      <c r="AA59" s="48">
        <f t="shared" si="13"/>
        <v>0</v>
      </c>
      <c r="AB59" s="48">
        <f t="shared" si="19"/>
        <v>0</v>
      </c>
      <c r="AC59" s="48">
        <f t="shared" si="20"/>
        <v>0</v>
      </c>
      <c r="AD59" s="48">
        <f t="shared" si="14"/>
        <v>0</v>
      </c>
      <c r="AE59" s="73">
        <f t="shared" si="15"/>
        <v>0</v>
      </c>
      <c r="AG59" s="238"/>
      <c r="AH59" s="239"/>
    </row>
    <row r="60" spans="3:34" ht="10.5" thickBot="1">
      <c r="C60" s="74">
        <v>58</v>
      </c>
      <c r="D60" s="75" t="str">
        <f>IF(W42="Freilos","Freilos",IF(W42="","Spieler 40",W42))</f>
        <v>Spieler 40</v>
      </c>
      <c r="E60" s="76" t="str">
        <f>IF(W106="Freilos","Freilos",IF(W106="","Spieler 104",W106))</f>
        <v>Spieler 104</v>
      </c>
      <c r="F60" s="77"/>
      <c r="G60" s="78"/>
      <c r="H60" s="79"/>
      <c r="I60" s="79"/>
      <c r="J60" s="79"/>
      <c r="K60" s="80"/>
      <c r="L60" s="71"/>
      <c r="N60" s="48">
        <f t="shared" si="0"/>
        <v>0</v>
      </c>
      <c r="O60" s="48">
        <f t="shared" si="1"/>
        <v>0</v>
      </c>
      <c r="P60" s="48">
        <f t="shared" si="2"/>
        <v>0</v>
      </c>
      <c r="Q60" s="48">
        <f t="shared" si="3"/>
        <v>0</v>
      </c>
      <c r="R60" s="48">
        <f t="shared" si="4"/>
        <v>0</v>
      </c>
      <c r="S60" s="48">
        <f t="shared" si="5"/>
        <v>0</v>
      </c>
      <c r="T60" s="72">
        <f t="shared" si="6"/>
        <v>0</v>
      </c>
      <c r="U60" s="72">
        <f t="shared" si="7"/>
        <v>0</v>
      </c>
      <c r="V60" s="48">
        <v>58</v>
      </c>
      <c r="W60" s="48" t="str">
        <f>IF(Spielereingabe!F66="","Spieler 58",Spielereingabe!F66)</f>
        <v>Spieler 58</v>
      </c>
      <c r="X60" s="48">
        <f t="shared" si="16"/>
        <v>0</v>
      </c>
      <c r="Y60" s="48">
        <f t="shared" si="17"/>
        <v>0</v>
      </c>
      <c r="Z60" s="48">
        <f t="shared" si="18"/>
        <v>0</v>
      </c>
      <c r="AA60" s="48">
        <f t="shared" si="13"/>
        <v>0</v>
      </c>
      <c r="AB60" s="48">
        <f t="shared" si="19"/>
        <v>0</v>
      </c>
      <c r="AC60" s="48">
        <f t="shared" si="20"/>
        <v>0</v>
      </c>
      <c r="AD60" s="48">
        <f t="shared" si="14"/>
        <v>0</v>
      </c>
      <c r="AE60" s="73">
        <f t="shared" si="15"/>
        <v>0</v>
      </c>
      <c r="AG60" s="238"/>
      <c r="AH60" s="239"/>
    </row>
    <row r="61" spans="3:34" ht="10.5" thickBot="1">
      <c r="C61" s="74">
        <v>59</v>
      </c>
      <c r="D61" s="75" t="str">
        <f>IF(W26="Freilos","Freilos",IF(W26="","Spieler 24",W26))</f>
        <v>Spieler 24</v>
      </c>
      <c r="E61" s="76" t="str">
        <f>IF(W90="Freilos","Freilos",IF(W90="","Spieler 88",W90))</f>
        <v>Spieler 88</v>
      </c>
      <c r="F61" s="77"/>
      <c r="G61" s="78"/>
      <c r="H61" s="79"/>
      <c r="I61" s="79"/>
      <c r="J61" s="79"/>
      <c r="K61" s="80"/>
      <c r="L61" s="71"/>
      <c r="N61" s="48">
        <f t="shared" si="0"/>
        <v>0</v>
      </c>
      <c r="O61" s="48">
        <f t="shared" si="1"/>
        <v>0</v>
      </c>
      <c r="P61" s="48">
        <f t="shared" si="2"/>
        <v>0</v>
      </c>
      <c r="Q61" s="48">
        <f t="shared" si="3"/>
        <v>0</v>
      </c>
      <c r="R61" s="48">
        <f t="shared" si="4"/>
        <v>0</v>
      </c>
      <c r="S61" s="48">
        <f t="shared" si="5"/>
        <v>0</v>
      </c>
      <c r="T61" s="72">
        <f t="shared" si="6"/>
        <v>0</v>
      </c>
      <c r="U61" s="72">
        <f t="shared" si="7"/>
        <v>0</v>
      </c>
      <c r="V61" s="48">
        <v>59</v>
      </c>
      <c r="W61" s="48" t="str">
        <f>IF(Spielereingabe!F67="","Spieler 59",Spielereingabe!F67)</f>
        <v>Spieler 59</v>
      </c>
      <c r="X61" s="48">
        <f t="shared" si="16"/>
        <v>0</v>
      </c>
      <c r="Y61" s="48">
        <f t="shared" si="17"/>
        <v>0</v>
      </c>
      <c r="Z61" s="48">
        <f t="shared" si="18"/>
        <v>0</v>
      </c>
      <c r="AA61" s="48">
        <f t="shared" si="13"/>
        <v>0</v>
      </c>
      <c r="AB61" s="48">
        <f t="shared" si="19"/>
        <v>0</v>
      </c>
      <c r="AC61" s="48">
        <f t="shared" si="20"/>
        <v>0</v>
      </c>
      <c r="AD61" s="48">
        <f t="shared" si="14"/>
        <v>0</v>
      </c>
      <c r="AE61" s="73">
        <f t="shared" si="15"/>
        <v>0</v>
      </c>
      <c r="AG61" s="238"/>
      <c r="AH61" s="239"/>
    </row>
    <row r="62" spans="3:34" ht="10.5" thickBot="1">
      <c r="C62" s="74">
        <v>60</v>
      </c>
      <c r="D62" s="75" t="str">
        <f>IF(W58="Freilos","Freilos",IF(W58="","Spieler 56",W58))</f>
        <v>Spieler 56</v>
      </c>
      <c r="E62" s="76" t="str">
        <f>IF(W122="Freilos","Freilos",IF(W122="","Spieler 120",W122))</f>
        <v>Spieler 120</v>
      </c>
      <c r="F62" s="77"/>
      <c r="G62" s="78"/>
      <c r="H62" s="79"/>
      <c r="I62" s="79"/>
      <c r="J62" s="79"/>
      <c r="K62" s="80"/>
      <c r="L62" s="71"/>
      <c r="N62" s="48">
        <f t="shared" si="0"/>
        <v>0</v>
      </c>
      <c r="O62" s="48">
        <f t="shared" si="1"/>
        <v>0</v>
      </c>
      <c r="P62" s="48">
        <f t="shared" si="2"/>
        <v>0</v>
      </c>
      <c r="Q62" s="48">
        <f t="shared" si="3"/>
        <v>0</v>
      </c>
      <c r="R62" s="48">
        <f t="shared" si="4"/>
        <v>0</v>
      </c>
      <c r="S62" s="48">
        <f t="shared" si="5"/>
        <v>0</v>
      </c>
      <c r="T62" s="72">
        <f t="shared" si="6"/>
        <v>0</v>
      </c>
      <c r="U62" s="72">
        <f t="shared" si="7"/>
        <v>0</v>
      </c>
      <c r="V62" s="48">
        <v>60</v>
      </c>
      <c r="W62" s="48" t="str">
        <f>IF(Spielereingabe!F68="","Spieler 60",Spielereingabe!F68)</f>
        <v>Spieler 60</v>
      </c>
      <c r="X62" s="48">
        <f t="shared" si="16"/>
        <v>0</v>
      </c>
      <c r="Y62" s="48">
        <f t="shared" si="17"/>
        <v>0</v>
      </c>
      <c r="Z62" s="48">
        <f t="shared" si="18"/>
        <v>0</v>
      </c>
      <c r="AA62" s="48">
        <f t="shared" si="13"/>
        <v>0</v>
      </c>
      <c r="AB62" s="48">
        <f t="shared" si="19"/>
        <v>0</v>
      </c>
      <c r="AC62" s="48">
        <f t="shared" si="20"/>
        <v>0</v>
      </c>
      <c r="AD62" s="48">
        <f t="shared" si="14"/>
        <v>0</v>
      </c>
      <c r="AE62" s="73">
        <f t="shared" si="15"/>
        <v>0</v>
      </c>
      <c r="AG62" s="238"/>
      <c r="AH62" s="239"/>
    </row>
    <row r="63" spans="3:34" ht="10.5" thickBot="1">
      <c r="C63" s="74">
        <v>61</v>
      </c>
      <c r="D63" s="75" t="str">
        <f>IF(W18="Freilos","Freilos",IF(W18="","Spieler 16",W18))</f>
        <v>Spieler 16</v>
      </c>
      <c r="E63" s="76" t="str">
        <f>IF(W82="Freilos","Freilos",IF(W82="","Spieler 80",W82))</f>
        <v>Spieler 80</v>
      </c>
      <c r="F63" s="77"/>
      <c r="G63" s="78"/>
      <c r="H63" s="79"/>
      <c r="I63" s="79"/>
      <c r="J63" s="79"/>
      <c r="K63" s="80"/>
      <c r="L63" s="71"/>
      <c r="N63" s="48">
        <f t="shared" si="0"/>
        <v>0</v>
      </c>
      <c r="O63" s="48">
        <f t="shared" si="1"/>
        <v>0</v>
      </c>
      <c r="P63" s="48">
        <f t="shared" si="2"/>
        <v>0</v>
      </c>
      <c r="Q63" s="48">
        <f t="shared" si="3"/>
        <v>0</v>
      </c>
      <c r="R63" s="48">
        <f t="shared" si="4"/>
        <v>0</v>
      </c>
      <c r="S63" s="48">
        <f t="shared" si="5"/>
        <v>0</v>
      </c>
      <c r="T63" s="72">
        <f t="shared" si="6"/>
        <v>0</v>
      </c>
      <c r="U63" s="72">
        <f t="shared" si="7"/>
        <v>0</v>
      </c>
      <c r="V63" s="48">
        <v>61</v>
      </c>
      <c r="W63" s="48" t="str">
        <f>IF(Spielereingabe!F69="","Spieler 61",Spielereingabe!F69)</f>
        <v>Spieler 61</v>
      </c>
      <c r="X63" s="48">
        <f t="shared" si="16"/>
        <v>0</v>
      </c>
      <c r="Y63" s="48">
        <f t="shared" si="17"/>
        <v>0</v>
      </c>
      <c r="Z63" s="48">
        <f t="shared" si="18"/>
        <v>0</v>
      </c>
      <c r="AA63" s="48">
        <f t="shared" si="13"/>
        <v>0</v>
      </c>
      <c r="AB63" s="48">
        <f t="shared" si="19"/>
        <v>0</v>
      </c>
      <c r="AC63" s="48">
        <f t="shared" si="20"/>
        <v>0</v>
      </c>
      <c r="AD63" s="48">
        <f t="shared" si="14"/>
        <v>0</v>
      </c>
      <c r="AE63" s="73">
        <f t="shared" si="15"/>
        <v>0</v>
      </c>
      <c r="AG63" s="238"/>
      <c r="AH63" s="239"/>
    </row>
    <row r="64" spans="3:34" ht="10.5" thickBot="1">
      <c r="C64" s="74">
        <v>62</v>
      </c>
      <c r="D64" s="75" t="str">
        <f>IF(W50="Freilos","Freilos",IF(W50="","Spieler 48",W50))</f>
        <v>Spieler 48</v>
      </c>
      <c r="E64" s="76" t="str">
        <f>IF(W114="Freilos","Freilos",IF(W114="","Spieler 112",W114))</f>
        <v>Spieler 112</v>
      </c>
      <c r="F64" s="77"/>
      <c r="G64" s="78"/>
      <c r="H64" s="79"/>
      <c r="I64" s="79"/>
      <c r="J64" s="79"/>
      <c r="K64" s="80"/>
      <c r="L64" s="71"/>
      <c r="N64" s="48">
        <f t="shared" si="0"/>
        <v>0</v>
      </c>
      <c r="O64" s="48">
        <f t="shared" si="1"/>
        <v>0</v>
      </c>
      <c r="P64" s="48">
        <f t="shared" si="2"/>
        <v>0</v>
      </c>
      <c r="Q64" s="48">
        <f t="shared" si="3"/>
        <v>0</v>
      </c>
      <c r="R64" s="48">
        <f t="shared" si="4"/>
        <v>0</v>
      </c>
      <c r="S64" s="48">
        <f t="shared" si="5"/>
        <v>0</v>
      </c>
      <c r="T64" s="72">
        <f t="shared" si="6"/>
        <v>0</v>
      </c>
      <c r="U64" s="72">
        <f t="shared" si="7"/>
        <v>0</v>
      </c>
      <c r="V64" s="48">
        <v>62</v>
      </c>
      <c r="W64" s="48" t="str">
        <f>IF(Spielereingabe!F70="","Spieler 62",Spielereingabe!F70)</f>
        <v>Spieler 62</v>
      </c>
      <c r="X64" s="48">
        <f t="shared" si="16"/>
        <v>0</v>
      </c>
      <c r="Y64" s="48">
        <f t="shared" si="17"/>
        <v>0</v>
      </c>
      <c r="Z64" s="48">
        <f t="shared" si="18"/>
        <v>0</v>
      </c>
      <c r="AA64" s="48">
        <f t="shared" si="13"/>
        <v>0</v>
      </c>
      <c r="AB64" s="48">
        <f t="shared" si="19"/>
        <v>0</v>
      </c>
      <c r="AC64" s="48">
        <f t="shared" si="20"/>
        <v>0</v>
      </c>
      <c r="AD64" s="48">
        <f t="shared" si="14"/>
        <v>0</v>
      </c>
      <c r="AE64" s="73">
        <f t="shared" si="15"/>
        <v>0</v>
      </c>
      <c r="AG64" s="238"/>
      <c r="AH64" s="239"/>
    </row>
    <row r="65" spans="3:34" ht="10.5" thickBot="1">
      <c r="C65" s="74">
        <v>63</v>
      </c>
      <c r="D65" s="75" t="str">
        <f>IF(W34="Freilos","Freilos",IF(W34="","Spieler 32",W34))</f>
        <v>Spieler 32</v>
      </c>
      <c r="E65" s="76" t="str">
        <f>IF(W98="Freilos","Freilos",IF(W98="","Spieler 96",W98))</f>
        <v>Spieler 96</v>
      </c>
      <c r="F65" s="77"/>
      <c r="G65" s="78"/>
      <c r="H65" s="79"/>
      <c r="I65" s="79"/>
      <c r="J65" s="79"/>
      <c r="K65" s="80"/>
      <c r="L65" s="71"/>
      <c r="N65" s="48">
        <f t="shared" si="0"/>
        <v>0</v>
      </c>
      <c r="O65" s="48">
        <f t="shared" si="1"/>
        <v>0</v>
      </c>
      <c r="P65" s="48">
        <f t="shared" si="2"/>
        <v>0</v>
      </c>
      <c r="Q65" s="48">
        <f t="shared" si="3"/>
        <v>0</v>
      </c>
      <c r="R65" s="48">
        <f t="shared" si="4"/>
        <v>0</v>
      </c>
      <c r="S65" s="48">
        <f t="shared" si="5"/>
        <v>0</v>
      </c>
      <c r="T65" s="72">
        <f t="shared" si="6"/>
        <v>0</v>
      </c>
      <c r="U65" s="72">
        <f t="shared" si="7"/>
        <v>0</v>
      </c>
      <c r="V65" s="48">
        <v>63</v>
      </c>
      <c r="W65" s="48" t="str">
        <f>IF(Spielereingabe!F71="","Spieler 63",Spielereingabe!F71)</f>
        <v>Spieler 63</v>
      </c>
      <c r="X65" s="48">
        <f t="shared" si="16"/>
        <v>0</v>
      </c>
      <c r="Y65" s="48">
        <f t="shared" si="17"/>
        <v>0</v>
      </c>
      <c r="Z65" s="48">
        <f t="shared" si="18"/>
        <v>0</v>
      </c>
      <c r="AA65" s="48">
        <f t="shared" si="13"/>
        <v>0</v>
      </c>
      <c r="AB65" s="48">
        <f t="shared" si="19"/>
        <v>0</v>
      </c>
      <c r="AC65" s="48">
        <f t="shared" si="20"/>
        <v>0</v>
      </c>
      <c r="AD65" s="48">
        <f t="shared" si="14"/>
        <v>0</v>
      </c>
      <c r="AE65" s="73">
        <f t="shared" si="15"/>
        <v>0</v>
      </c>
      <c r="AG65" s="238"/>
      <c r="AH65" s="239"/>
    </row>
    <row r="66" spans="3:34" ht="10.5" thickBot="1">
      <c r="C66" s="81">
        <v>64</v>
      </c>
      <c r="D66" s="82" t="str">
        <f>IF(W66="Freilos","Freilos",IF(W66="","Spieler 64",W66))</f>
        <v>Spieler 64</v>
      </c>
      <c r="E66" s="83" t="str">
        <f>IF(W130="Freilos","Freilos",IF(W130="","Spieler 128",W130))</f>
        <v>Spieler 128</v>
      </c>
      <c r="F66" s="84"/>
      <c r="G66" s="85"/>
      <c r="H66" s="86"/>
      <c r="I66" s="86"/>
      <c r="J66" s="86"/>
      <c r="K66" s="87"/>
      <c r="L66" s="71"/>
      <c r="M66" s="59" t="s">
        <v>38</v>
      </c>
      <c r="N66" s="48">
        <f t="shared" si="0"/>
        <v>0</v>
      </c>
      <c r="O66" s="48">
        <f t="shared" si="1"/>
        <v>0</v>
      </c>
      <c r="P66" s="48">
        <f t="shared" si="2"/>
        <v>0</v>
      </c>
      <c r="Q66" s="48">
        <f t="shared" si="3"/>
        <v>0</v>
      </c>
      <c r="R66" s="48">
        <f t="shared" si="4"/>
        <v>0</v>
      </c>
      <c r="S66" s="48">
        <f t="shared" si="5"/>
        <v>0</v>
      </c>
      <c r="T66" s="72">
        <f t="shared" si="6"/>
        <v>0</v>
      </c>
      <c r="U66" s="72">
        <f t="shared" si="7"/>
        <v>0</v>
      </c>
      <c r="V66" s="48">
        <v>64</v>
      </c>
      <c r="W66" s="48" t="str">
        <f>IF(Spielereingabe!F72="","Spieler 64",Spielereingabe!F72)</f>
        <v>Spieler 64</v>
      </c>
      <c r="X66" s="48">
        <f t="shared" si="16"/>
        <v>0</v>
      </c>
      <c r="Y66" s="48">
        <f t="shared" si="17"/>
        <v>0</v>
      </c>
      <c r="Z66" s="48">
        <f t="shared" si="18"/>
        <v>0</v>
      </c>
      <c r="AA66" s="48">
        <f t="shared" si="13"/>
        <v>0</v>
      </c>
      <c r="AB66" s="48">
        <f t="shared" si="19"/>
        <v>0</v>
      </c>
      <c r="AC66" s="48">
        <f t="shared" si="20"/>
        <v>0</v>
      </c>
      <c r="AD66" s="48">
        <f t="shared" si="14"/>
        <v>0</v>
      </c>
      <c r="AE66" s="73">
        <f t="shared" si="15"/>
        <v>0</v>
      </c>
      <c r="AG66" s="238"/>
      <c r="AH66" s="239"/>
    </row>
    <row r="67" spans="2:34" ht="10.5" thickBot="1">
      <c r="B67" s="88" t="s">
        <v>26</v>
      </c>
      <c r="C67" s="64">
        <v>65</v>
      </c>
      <c r="D67" s="89" t="str">
        <f>IF(D3="Spieler 1","Verlierer 1",IF(E3="Spieler 65","Verlierer 1",IF(D3=E3,"Freilos",IF(E3="Freilos",E3,IF(D3="Freilos",D3,IF(F3&gt;G3,E3,IF(G3&gt;F3,D3,"Verlierer 1")))))))</f>
        <v>Verlierer 1</v>
      </c>
      <c r="E67" s="90" t="str">
        <f>IF(D4="Spieler 33","Verlierer 2",IF(E4="Spieler 97","Verlierer 2",IF(D4=E4,"Freilos",IF(E4="Freilos",E4,IF(D4="Freilos",D4,IF(F4&gt;G4,E4,IF(G4&gt;F4,D4,"Verlierer 2")))))))</f>
        <v>Verlierer 2</v>
      </c>
      <c r="F67" s="91"/>
      <c r="G67" s="92"/>
      <c r="H67" s="93"/>
      <c r="I67" s="93"/>
      <c r="J67" s="93"/>
      <c r="K67" s="94"/>
      <c r="L67" s="71"/>
      <c r="M67" s="95">
        <f aca="true" t="shared" si="21" ref="M67:M98">IF(F67&gt;G67,E67,IF(G67&gt;F67,D67,""))</f>
      </c>
      <c r="N67" s="48">
        <f aca="true" t="shared" si="22" ref="N67:N129">F67+G67</f>
        <v>0</v>
      </c>
      <c r="O67" s="48">
        <f aca="true" t="shared" si="23" ref="O67:O130">N67</f>
        <v>0</v>
      </c>
      <c r="P67" s="48">
        <f aca="true" t="shared" si="24" ref="P67:P129">IF(D67="Freilos",0,IF(F67&lt;G67,1,IF(F67&gt;G67,1,0)))</f>
        <v>0</v>
      </c>
      <c r="Q67" s="48">
        <f aca="true" t="shared" si="25" ref="Q67:Q129">IF(D67="Freilos",0,IF(F67&lt;G67,1,IF(F67&gt;G67,1,0)))</f>
        <v>0</v>
      </c>
      <c r="R67" s="48">
        <f aca="true" t="shared" si="26" ref="R67:R129">IF(D67="Freilos",0,IF(F67&gt;G67,1,0))</f>
        <v>0</v>
      </c>
      <c r="S67" s="48">
        <f aca="true" t="shared" si="27" ref="S67:S129">IF(D67="Freilos",0,IF(G67&gt;F67,1,0))</f>
        <v>0</v>
      </c>
      <c r="T67" s="72">
        <f aca="true" t="shared" si="28" ref="T67:T98">IF(E67="Freilos",3,IF(F67&gt;G67,3,0))</f>
        <v>0</v>
      </c>
      <c r="U67" s="72">
        <f aca="true" t="shared" si="29" ref="U67:U98">IF(D67="Freilos",3,IF(G67&gt;F67,3,0))</f>
        <v>0</v>
      </c>
      <c r="V67" s="48">
        <v>65</v>
      </c>
      <c r="W67" s="48" t="str">
        <f>IF(Spielereingabe!F73="","Spieler 65",Spielereingabe!F73)</f>
        <v>Spieler 65</v>
      </c>
      <c r="X67" s="48">
        <f aca="true" t="shared" si="30" ref="X67:X98">IF(W67="Freilos",0,SUMIF($D$3:$E$257,W67,$T$3:$U$257))</f>
        <v>0</v>
      </c>
      <c r="Y67" s="48">
        <f aca="true" t="shared" si="31" ref="Y67:Y98">SUMIF($D$3:$E$257,W67,$P$3:$Q$257)</f>
        <v>0</v>
      </c>
      <c r="Z67" s="48">
        <f aca="true" t="shared" si="32" ref="Z67:Z98">SUMIF($D$3:$E$257,W67,$R$3:$S$257)</f>
        <v>0</v>
      </c>
      <c r="AA67" s="48">
        <f t="shared" si="13"/>
        <v>0</v>
      </c>
      <c r="AB67" s="48">
        <f aca="true" t="shared" si="33" ref="AB67:AB98">SUMIF($D$3:$E$257,W67,$N$3:$O$257)</f>
        <v>0</v>
      </c>
      <c r="AC67" s="48">
        <f aca="true" t="shared" si="34" ref="AC67:AC98">SUMIF($D$3:$E$257,W67,$F$3:$G$257)</f>
        <v>0</v>
      </c>
      <c r="AD67" s="48">
        <f t="shared" si="14"/>
        <v>0</v>
      </c>
      <c r="AE67" s="73">
        <f t="shared" si="15"/>
        <v>0</v>
      </c>
      <c r="AG67" s="238"/>
      <c r="AH67" s="239"/>
    </row>
    <row r="68" spans="3:34" ht="10.5" thickBot="1">
      <c r="C68" s="74">
        <v>66</v>
      </c>
      <c r="D68" s="96" t="str">
        <f>IF(D5="Spieler 17","Verlierer 3",IF(E5="Spieler 81","Verlierer 3",IF(D5=E5,"Freilos",IF(E5="Freilos",E5,IF(D5="Freilos",D5,IF(F5&gt;G5,E5,IF(G5&gt;F5,D5,"Verlierer 3")))))))</f>
        <v>Verlierer 3</v>
      </c>
      <c r="E68" s="97" t="str">
        <f>IF(D6="Spieler 49","Verlierer 4",IF(E6="Spieler 113","Verlierer 4",IF(D6=E6,"Freilos",IF(E6="Freilos",E6,IF(D6="Freilos",D6,IF(F6&gt;G6,E6,IF(G6&gt;F6,D6,"Verlierer 4")))))))</f>
        <v>Verlierer 4</v>
      </c>
      <c r="F68" s="98"/>
      <c r="G68" s="99"/>
      <c r="H68" s="100"/>
      <c r="I68" s="100"/>
      <c r="J68" s="100"/>
      <c r="K68" s="101"/>
      <c r="L68" s="71"/>
      <c r="M68" s="95">
        <f t="shared" si="21"/>
      </c>
      <c r="N68" s="48">
        <f t="shared" si="22"/>
        <v>0</v>
      </c>
      <c r="O68" s="48">
        <f t="shared" si="23"/>
        <v>0</v>
      </c>
      <c r="P68" s="48">
        <f t="shared" si="24"/>
        <v>0</v>
      </c>
      <c r="Q68" s="48">
        <f t="shared" si="25"/>
        <v>0</v>
      </c>
      <c r="R68" s="48">
        <f t="shared" si="26"/>
        <v>0</v>
      </c>
      <c r="S68" s="48">
        <f t="shared" si="27"/>
        <v>0</v>
      </c>
      <c r="T68" s="72">
        <f t="shared" si="28"/>
        <v>0</v>
      </c>
      <c r="U68" s="72">
        <f t="shared" si="29"/>
        <v>0</v>
      </c>
      <c r="V68" s="48">
        <v>66</v>
      </c>
      <c r="W68" s="48" t="str">
        <f>IF(Spielereingabe!F74="","Spieler 66",Spielereingabe!F74)</f>
        <v>Spieler 66</v>
      </c>
      <c r="X68" s="48">
        <f t="shared" si="30"/>
        <v>0</v>
      </c>
      <c r="Y68" s="48">
        <f t="shared" si="31"/>
        <v>0</v>
      </c>
      <c r="Z68" s="48">
        <f t="shared" si="32"/>
        <v>0</v>
      </c>
      <c r="AA68" s="48">
        <f aca="true" t="shared" si="35" ref="AA68:AA130">Y68-Z68</f>
        <v>0</v>
      </c>
      <c r="AB68" s="48">
        <f t="shared" si="33"/>
        <v>0</v>
      </c>
      <c r="AC68" s="48">
        <f t="shared" si="34"/>
        <v>0</v>
      </c>
      <c r="AD68" s="48">
        <f aca="true" t="shared" si="36" ref="AD68:AD130">AB68-AC68</f>
        <v>0</v>
      </c>
      <c r="AE68" s="73">
        <f aca="true" t="shared" si="37" ref="AE68:AE130">IF(AD68&gt;0,AC68/AD68,AC68*1.000000001)</f>
        <v>0</v>
      </c>
      <c r="AG68" s="238"/>
      <c r="AH68" s="239"/>
    </row>
    <row r="69" spans="3:34" ht="10.5" thickBot="1">
      <c r="C69" s="74">
        <v>67</v>
      </c>
      <c r="D69" s="96" t="str">
        <f>IF(D7="Spieler 9","Verlierer 5",IF(E7="Spieler 73","Verlierer 5",IF(D7=E7,"Freilos",IF(E7="Freilos",E7,IF(D7="Freilos",D7,IF(F7&gt;G7,E7,IF(G7&gt;F7,D7,"Verlierer 5")))))))</f>
        <v>Verlierer 5</v>
      </c>
      <c r="E69" s="97" t="str">
        <f>IF(D8="Spieler 41","Verlierer 6",IF(E8="Spieler 105","Verlierer 6",IF(D8=E8,"Freilos",IF(E8="Freilos",E8,IF(D8="Freilos",D8,IF(F8&gt;G8,E8,IF(G8&gt;F8,D8,"Verlierer 6")))))))</f>
        <v>Verlierer 6</v>
      </c>
      <c r="F69" s="98"/>
      <c r="G69" s="99"/>
      <c r="H69" s="100"/>
      <c r="I69" s="100"/>
      <c r="J69" s="100"/>
      <c r="K69" s="101"/>
      <c r="L69" s="71"/>
      <c r="M69" s="95">
        <f t="shared" si="21"/>
      </c>
      <c r="N69" s="48">
        <f t="shared" si="22"/>
        <v>0</v>
      </c>
      <c r="O69" s="48">
        <f t="shared" si="23"/>
        <v>0</v>
      </c>
      <c r="P69" s="48">
        <f t="shared" si="24"/>
        <v>0</v>
      </c>
      <c r="Q69" s="48">
        <f t="shared" si="25"/>
        <v>0</v>
      </c>
      <c r="R69" s="48">
        <f t="shared" si="26"/>
        <v>0</v>
      </c>
      <c r="S69" s="48">
        <f t="shared" si="27"/>
        <v>0</v>
      </c>
      <c r="T69" s="72">
        <f t="shared" si="28"/>
        <v>0</v>
      </c>
      <c r="U69" s="72">
        <f t="shared" si="29"/>
        <v>0</v>
      </c>
      <c r="V69" s="48">
        <v>67</v>
      </c>
      <c r="W69" s="48" t="str">
        <f>IF(Spielereingabe!F75="","Spieler 67",Spielereingabe!F75)</f>
        <v>Spieler 67</v>
      </c>
      <c r="X69" s="48">
        <f t="shared" si="30"/>
        <v>0</v>
      </c>
      <c r="Y69" s="48">
        <f t="shared" si="31"/>
        <v>0</v>
      </c>
      <c r="Z69" s="48">
        <f t="shared" si="32"/>
        <v>0</v>
      </c>
      <c r="AA69" s="48">
        <f t="shared" si="35"/>
        <v>0</v>
      </c>
      <c r="AB69" s="48">
        <f t="shared" si="33"/>
        <v>0</v>
      </c>
      <c r="AC69" s="48">
        <f t="shared" si="34"/>
        <v>0</v>
      </c>
      <c r="AD69" s="48">
        <f t="shared" si="36"/>
        <v>0</v>
      </c>
      <c r="AE69" s="73">
        <f t="shared" si="37"/>
        <v>0</v>
      </c>
      <c r="AG69" s="238"/>
      <c r="AH69" s="239"/>
    </row>
    <row r="70" spans="3:34" ht="10.5" thickBot="1">
      <c r="C70" s="74">
        <v>68</v>
      </c>
      <c r="D70" s="96" t="str">
        <f>IF(D9="Spieler 25","Verlierer 7",IF(E9="Spieler 89","Verlierer 7",IF(D9=E9,"Freilos",IF(E9="Freilos",E9,IF(D9="Freilos",D9,IF(F9&gt;G9,E9,IF(G9&gt;F9,D9,"Verlierer 7")))))))</f>
        <v>Verlierer 7</v>
      </c>
      <c r="E70" s="97" t="str">
        <f>IF(D10="Spieler 57","Verlierer 8",IF(E10="Spieler 121","Verlierer 8",IF(D10=E10,"Freilos",IF(E10="Freilos",E10,IF(D10="Freilos",D10,IF(F10&gt;G10,E10,IF(G10&gt;F10,D10,"Verlierer 8")))))))</f>
        <v>Verlierer 8</v>
      </c>
      <c r="F70" s="98"/>
      <c r="G70" s="99"/>
      <c r="H70" s="100"/>
      <c r="I70" s="100"/>
      <c r="J70" s="100"/>
      <c r="K70" s="101"/>
      <c r="L70" s="71"/>
      <c r="M70" s="95">
        <f t="shared" si="21"/>
      </c>
      <c r="N70" s="48">
        <f t="shared" si="22"/>
        <v>0</v>
      </c>
      <c r="O70" s="48">
        <f t="shared" si="23"/>
        <v>0</v>
      </c>
      <c r="P70" s="48">
        <f t="shared" si="24"/>
        <v>0</v>
      </c>
      <c r="Q70" s="48">
        <f t="shared" si="25"/>
        <v>0</v>
      </c>
      <c r="R70" s="48">
        <f t="shared" si="26"/>
        <v>0</v>
      </c>
      <c r="S70" s="48">
        <f t="shared" si="27"/>
        <v>0</v>
      </c>
      <c r="T70" s="72">
        <f t="shared" si="28"/>
        <v>0</v>
      </c>
      <c r="U70" s="72">
        <f t="shared" si="29"/>
        <v>0</v>
      </c>
      <c r="V70" s="48">
        <v>68</v>
      </c>
      <c r="W70" s="48" t="str">
        <f>IF(Spielereingabe!F76="","Spieler 68",Spielereingabe!F76)</f>
        <v>Spieler 68</v>
      </c>
      <c r="X70" s="48">
        <f t="shared" si="30"/>
        <v>0</v>
      </c>
      <c r="Y70" s="48">
        <f t="shared" si="31"/>
        <v>0</v>
      </c>
      <c r="Z70" s="48">
        <f t="shared" si="32"/>
        <v>0</v>
      </c>
      <c r="AA70" s="48">
        <f t="shared" si="35"/>
        <v>0</v>
      </c>
      <c r="AB70" s="48">
        <f t="shared" si="33"/>
        <v>0</v>
      </c>
      <c r="AC70" s="48">
        <f t="shared" si="34"/>
        <v>0</v>
      </c>
      <c r="AD70" s="48">
        <f t="shared" si="36"/>
        <v>0</v>
      </c>
      <c r="AE70" s="73">
        <f t="shared" si="37"/>
        <v>0</v>
      </c>
      <c r="AG70" s="238"/>
      <c r="AH70" s="239"/>
    </row>
    <row r="71" spans="3:34" ht="10.5" thickBot="1">
      <c r="C71" s="74">
        <v>69</v>
      </c>
      <c r="D71" s="96" t="str">
        <f>IF(D11="Spieler 5","Verlierer 9",IF(E11="Spieler 69","Verlierer 9",IF(D11=E11,"Freilos",IF(E11="Freilos",E11,IF(D11="Freilos",D11,IF(F11&gt;G11,E11,IF(G11&gt;F11,D11,"Verlierer 9")))))))</f>
        <v>Verlierer 9</v>
      </c>
      <c r="E71" s="97" t="str">
        <f>IF(D12="Spieler 37","Verlierer 10",IF(E12="Spieler 101","Verlierer 10",IF(D12=E12,"Freilos",IF(E12="Freilos",E12,IF(D12="Freilos",D12,IF(F12&gt;G12,E12,IF(G12&gt;F12,D12,"Verlierer 10")))))))</f>
        <v>Verlierer 10</v>
      </c>
      <c r="F71" s="98"/>
      <c r="G71" s="99"/>
      <c r="H71" s="100"/>
      <c r="I71" s="100"/>
      <c r="J71" s="100"/>
      <c r="K71" s="101"/>
      <c r="L71" s="71"/>
      <c r="M71" s="95">
        <f t="shared" si="21"/>
      </c>
      <c r="N71" s="48">
        <f t="shared" si="22"/>
        <v>0</v>
      </c>
      <c r="O71" s="48">
        <f t="shared" si="23"/>
        <v>0</v>
      </c>
      <c r="P71" s="48">
        <f t="shared" si="24"/>
        <v>0</v>
      </c>
      <c r="Q71" s="48">
        <f t="shared" si="25"/>
        <v>0</v>
      </c>
      <c r="R71" s="48">
        <f t="shared" si="26"/>
        <v>0</v>
      </c>
      <c r="S71" s="48">
        <f t="shared" si="27"/>
        <v>0</v>
      </c>
      <c r="T71" s="72">
        <f t="shared" si="28"/>
        <v>0</v>
      </c>
      <c r="U71" s="72">
        <f t="shared" si="29"/>
        <v>0</v>
      </c>
      <c r="V71" s="48">
        <v>69</v>
      </c>
      <c r="W71" s="48" t="str">
        <f>IF(Spielereingabe!F77="","Spieler 69",Spielereingabe!F77)</f>
        <v>Spieler 69</v>
      </c>
      <c r="X71" s="48">
        <f t="shared" si="30"/>
        <v>0</v>
      </c>
      <c r="Y71" s="48">
        <f t="shared" si="31"/>
        <v>0</v>
      </c>
      <c r="Z71" s="48">
        <f t="shared" si="32"/>
        <v>0</v>
      </c>
      <c r="AA71" s="48">
        <f t="shared" si="35"/>
        <v>0</v>
      </c>
      <c r="AB71" s="48">
        <f t="shared" si="33"/>
        <v>0</v>
      </c>
      <c r="AC71" s="48">
        <f t="shared" si="34"/>
        <v>0</v>
      </c>
      <c r="AD71" s="48">
        <f t="shared" si="36"/>
        <v>0</v>
      </c>
      <c r="AE71" s="73">
        <f t="shared" si="37"/>
        <v>0</v>
      </c>
      <c r="AG71" s="238"/>
      <c r="AH71" s="239"/>
    </row>
    <row r="72" spans="3:34" ht="10.5" thickBot="1">
      <c r="C72" s="74">
        <v>70</v>
      </c>
      <c r="D72" s="96" t="str">
        <f>IF(D13="Spieler 21","Verlierer 11",IF(E13="Spieler 85","Verlierer 11",IF(D13=E13,"Freilos",IF(E13="Freilos",E13,IF(D13="Freilos",D13,IF(F13&gt;G13,E13,IF(G13&gt;F13,D13,"Verlierer 11")))))))</f>
        <v>Verlierer 11</v>
      </c>
      <c r="E72" s="97" t="str">
        <f>IF(D14="Spieler 53","Verlierer 12",IF(E14="Spieler 117","Verlierer 12",IF(D14=E14,"Freilos",IF(E14="Freilos",E14,IF(D14="Freilos",D14,IF(F14&gt;G14,E14,IF(G14&gt;F14,D14,"Verlierer 12")))))))</f>
        <v>Verlierer 12</v>
      </c>
      <c r="F72" s="98"/>
      <c r="G72" s="99"/>
      <c r="H72" s="100"/>
      <c r="I72" s="100"/>
      <c r="J72" s="100"/>
      <c r="K72" s="101"/>
      <c r="L72" s="71"/>
      <c r="M72" s="95">
        <f t="shared" si="21"/>
      </c>
      <c r="N72" s="48">
        <f t="shared" si="22"/>
        <v>0</v>
      </c>
      <c r="O72" s="48">
        <f t="shared" si="23"/>
        <v>0</v>
      </c>
      <c r="P72" s="48">
        <f t="shared" si="24"/>
        <v>0</v>
      </c>
      <c r="Q72" s="48">
        <f t="shared" si="25"/>
        <v>0</v>
      </c>
      <c r="R72" s="48">
        <f t="shared" si="26"/>
        <v>0</v>
      </c>
      <c r="S72" s="48">
        <f t="shared" si="27"/>
        <v>0</v>
      </c>
      <c r="T72" s="72">
        <f t="shared" si="28"/>
        <v>0</v>
      </c>
      <c r="U72" s="72">
        <f t="shared" si="29"/>
        <v>0</v>
      </c>
      <c r="V72" s="48">
        <v>70</v>
      </c>
      <c r="W72" s="48" t="str">
        <f>IF(Spielereingabe!F78="","Spieler 70",Spielereingabe!F78)</f>
        <v>Spieler 70</v>
      </c>
      <c r="X72" s="48">
        <f t="shared" si="30"/>
        <v>0</v>
      </c>
      <c r="Y72" s="48">
        <f t="shared" si="31"/>
        <v>0</v>
      </c>
      <c r="Z72" s="48">
        <f t="shared" si="32"/>
        <v>0</v>
      </c>
      <c r="AA72" s="48">
        <f t="shared" si="35"/>
        <v>0</v>
      </c>
      <c r="AB72" s="48">
        <f t="shared" si="33"/>
        <v>0</v>
      </c>
      <c r="AC72" s="48">
        <f t="shared" si="34"/>
        <v>0</v>
      </c>
      <c r="AD72" s="48">
        <f t="shared" si="36"/>
        <v>0</v>
      </c>
      <c r="AE72" s="73">
        <f t="shared" si="37"/>
        <v>0</v>
      </c>
      <c r="AG72" s="238"/>
      <c r="AH72" s="239"/>
    </row>
    <row r="73" spans="3:34" ht="10.5" thickBot="1">
      <c r="C73" s="74">
        <v>71</v>
      </c>
      <c r="D73" s="96" t="str">
        <f>IF(D15="Spieler 13","Verlierer 13",IF(E15="Spieler 77","Verlierer 13",IF(D15=E15,"Freilos",IF(E15="Freilos",E15,IF(D15="Freilos",D15,IF(F15&gt;G15,E15,IF(G15&gt;F15,D15,"Verlierer 13")))))))</f>
        <v>Verlierer 13</v>
      </c>
      <c r="E73" s="97" t="str">
        <f>IF(D16="Spieler 45","Verlierer 14",IF(E16="Spieler 109","Verlierer 14",IF(D16=E16,"Freilos",IF(E16="Freilos",E16,IF(D16="Freilos",D16,IF(F16&gt;G16,E16,IF(G16&gt;F16,D16,"Verlierer 14")))))))</f>
        <v>Verlierer 14</v>
      </c>
      <c r="F73" s="98"/>
      <c r="G73" s="99"/>
      <c r="H73" s="100"/>
      <c r="I73" s="100"/>
      <c r="J73" s="100"/>
      <c r="K73" s="101"/>
      <c r="L73" s="71"/>
      <c r="M73" s="95">
        <f t="shared" si="21"/>
      </c>
      <c r="N73" s="48">
        <f t="shared" si="22"/>
        <v>0</v>
      </c>
      <c r="O73" s="48">
        <f t="shared" si="23"/>
        <v>0</v>
      </c>
      <c r="P73" s="48">
        <f t="shared" si="24"/>
        <v>0</v>
      </c>
      <c r="Q73" s="48">
        <f t="shared" si="25"/>
        <v>0</v>
      </c>
      <c r="R73" s="48">
        <f t="shared" si="26"/>
        <v>0</v>
      </c>
      <c r="S73" s="48">
        <f t="shared" si="27"/>
        <v>0</v>
      </c>
      <c r="T73" s="72">
        <f t="shared" si="28"/>
        <v>0</v>
      </c>
      <c r="U73" s="72">
        <f t="shared" si="29"/>
        <v>0</v>
      </c>
      <c r="V73" s="48">
        <v>71</v>
      </c>
      <c r="W73" s="48" t="str">
        <f>IF(Spielereingabe!F79="","Spieler 71",Spielereingabe!F79)</f>
        <v>Spieler 71</v>
      </c>
      <c r="X73" s="48">
        <f t="shared" si="30"/>
        <v>0</v>
      </c>
      <c r="Y73" s="48">
        <f t="shared" si="31"/>
        <v>0</v>
      </c>
      <c r="Z73" s="48">
        <f t="shared" si="32"/>
        <v>0</v>
      </c>
      <c r="AA73" s="48">
        <f t="shared" si="35"/>
        <v>0</v>
      </c>
      <c r="AB73" s="48">
        <f t="shared" si="33"/>
        <v>0</v>
      </c>
      <c r="AC73" s="48">
        <f t="shared" si="34"/>
        <v>0</v>
      </c>
      <c r="AD73" s="48">
        <f t="shared" si="36"/>
        <v>0</v>
      </c>
      <c r="AE73" s="73">
        <f t="shared" si="37"/>
        <v>0</v>
      </c>
      <c r="AG73" s="238"/>
      <c r="AH73" s="239"/>
    </row>
    <row r="74" spans="3:34" ht="10.5" thickBot="1">
      <c r="C74" s="74">
        <v>72</v>
      </c>
      <c r="D74" s="96" t="str">
        <f>IF(D17="Spieler 29","Verlierer 15",IF(E17="Spieler 93","Verlierer 15",IF(D17=E17,"Freilos",IF(E17="Freilos",E17,IF(D17="Freilos",D17,IF(F17&gt;G17,E17,IF(G17&gt;F17,D17,"Verlierer 15")))))))</f>
        <v>Verlierer 15</v>
      </c>
      <c r="E74" s="97" t="str">
        <f>IF(D18="Spieler 61","Verlierer 16",IF(E18="Spieler 125","Verlierer 16",IF(D18=E18,"Freilos",IF(E18="Freilos",E18,IF(D18="Freilos",D18,IF(F18&gt;G18,E18,IF(G18&gt;F18,D18,"Verlierer 16")))))))</f>
        <v>Verlierer 16</v>
      </c>
      <c r="F74" s="98"/>
      <c r="G74" s="99"/>
      <c r="H74" s="100"/>
      <c r="I74" s="100"/>
      <c r="J74" s="100"/>
      <c r="K74" s="101"/>
      <c r="L74" s="71"/>
      <c r="M74" s="95">
        <f t="shared" si="21"/>
      </c>
      <c r="N74" s="48">
        <f t="shared" si="22"/>
        <v>0</v>
      </c>
      <c r="O74" s="48">
        <f t="shared" si="23"/>
        <v>0</v>
      </c>
      <c r="P74" s="48">
        <f t="shared" si="24"/>
        <v>0</v>
      </c>
      <c r="Q74" s="48">
        <f t="shared" si="25"/>
        <v>0</v>
      </c>
      <c r="R74" s="48">
        <f t="shared" si="26"/>
        <v>0</v>
      </c>
      <c r="S74" s="48">
        <f t="shared" si="27"/>
        <v>0</v>
      </c>
      <c r="T74" s="72">
        <f t="shared" si="28"/>
        <v>0</v>
      </c>
      <c r="U74" s="72">
        <f t="shared" si="29"/>
        <v>0</v>
      </c>
      <c r="V74" s="48">
        <v>72</v>
      </c>
      <c r="W74" s="48" t="str">
        <f>IF(Spielereingabe!F80="","Spieler 72",Spielereingabe!F80)</f>
        <v>Spieler 72</v>
      </c>
      <c r="X74" s="48">
        <f t="shared" si="30"/>
        <v>0</v>
      </c>
      <c r="Y74" s="48">
        <f t="shared" si="31"/>
        <v>0</v>
      </c>
      <c r="Z74" s="48">
        <f t="shared" si="32"/>
        <v>0</v>
      </c>
      <c r="AA74" s="48">
        <f t="shared" si="35"/>
        <v>0</v>
      </c>
      <c r="AB74" s="48">
        <f t="shared" si="33"/>
        <v>0</v>
      </c>
      <c r="AC74" s="48">
        <f t="shared" si="34"/>
        <v>0</v>
      </c>
      <c r="AD74" s="48">
        <f t="shared" si="36"/>
        <v>0</v>
      </c>
      <c r="AE74" s="73">
        <f t="shared" si="37"/>
        <v>0</v>
      </c>
      <c r="AG74" s="238"/>
      <c r="AH74" s="239"/>
    </row>
    <row r="75" spans="3:34" ht="10.5" thickBot="1">
      <c r="C75" s="74">
        <v>73</v>
      </c>
      <c r="D75" s="96" t="str">
        <f>IF(D19="Spieler 3","Verlierer 17",IF(E19="Spieler 67","Verlierer 17",IF(D19=E19,"Freilos",IF(E19="Freilos",E19,IF(D19="Freilos",D19,IF(F19&gt;G19,E19,IF(G19&gt;F19,D19,"Verlierer 17")))))))</f>
        <v>Verlierer 17</v>
      </c>
      <c r="E75" s="97" t="str">
        <f>IF(D20="Spieler 35","Verlierer 18",IF(E20="Spieler 99","Verlierer 18",IF(D20=E20,"Freilos",IF(E20="Freilos",E20,IF(D20="Freilos",D20,IF(F20&gt;G20,E20,IF(G20&gt;F20,D20,"Verlierer 18")))))))</f>
        <v>Verlierer 18</v>
      </c>
      <c r="F75" s="98"/>
      <c r="G75" s="99"/>
      <c r="H75" s="100"/>
      <c r="I75" s="100"/>
      <c r="J75" s="100"/>
      <c r="K75" s="101"/>
      <c r="L75" s="71"/>
      <c r="M75" s="95">
        <f t="shared" si="21"/>
      </c>
      <c r="N75" s="48">
        <f t="shared" si="22"/>
        <v>0</v>
      </c>
      <c r="O75" s="48">
        <f t="shared" si="23"/>
        <v>0</v>
      </c>
      <c r="P75" s="48">
        <f t="shared" si="24"/>
        <v>0</v>
      </c>
      <c r="Q75" s="48">
        <f t="shared" si="25"/>
        <v>0</v>
      </c>
      <c r="R75" s="48">
        <f t="shared" si="26"/>
        <v>0</v>
      </c>
      <c r="S75" s="48">
        <f t="shared" si="27"/>
        <v>0</v>
      </c>
      <c r="T75" s="72">
        <f t="shared" si="28"/>
        <v>0</v>
      </c>
      <c r="U75" s="72">
        <f t="shared" si="29"/>
        <v>0</v>
      </c>
      <c r="V75" s="48">
        <v>73</v>
      </c>
      <c r="W75" s="48" t="str">
        <f>IF(Spielereingabe!F81="","Spieler 73",Spielereingabe!F81)</f>
        <v>Spieler 73</v>
      </c>
      <c r="X75" s="48">
        <f t="shared" si="30"/>
        <v>0</v>
      </c>
      <c r="Y75" s="48">
        <f t="shared" si="31"/>
        <v>0</v>
      </c>
      <c r="Z75" s="48">
        <f t="shared" si="32"/>
        <v>0</v>
      </c>
      <c r="AA75" s="48">
        <f t="shared" si="35"/>
        <v>0</v>
      </c>
      <c r="AB75" s="48">
        <f t="shared" si="33"/>
        <v>0</v>
      </c>
      <c r="AC75" s="48">
        <f t="shared" si="34"/>
        <v>0</v>
      </c>
      <c r="AD75" s="48">
        <f t="shared" si="36"/>
        <v>0</v>
      </c>
      <c r="AE75" s="73">
        <f t="shared" si="37"/>
        <v>0</v>
      </c>
      <c r="AG75" s="238"/>
      <c r="AH75" s="239"/>
    </row>
    <row r="76" spans="3:34" ht="10.5" thickBot="1">
      <c r="C76" s="74">
        <v>74</v>
      </c>
      <c r="D76" s="96" t="str">
        <f>IF(D21="Spieler 19","Verlierer 19",IF(E21="Spieler 83","Verlierer 19",IF(D21=E21,"Freilos",IF(E21="Freilos",E21,IF(D21="Freilos",D21,IF(F21&gt;G21,E21,IF(G21&gt;F21,D21,"Verlierer 19")))))))</f>
        <v>Verlierer 19</v>
      </c>
      <c r="E76" s="97" t="str">
        <f>IF(D22="Spieler 51","Verlierer 20",IF(E22="Spieler 115","Verlierer 20",IF(D22=E22,"Freilos",IF(E22="Freilos",E22,IF(D22="Freilos",D22,IF(F22&gt;G22,E22,IF(G22&gt;F22,D22,"Verlierer 20")))))))</f>
        <v>Verlierer 20</v>
      </c>
      <c r="F76" s="98"/>
      <c r="G76" s="99"/>
      <c r="H76" s="100"/>
      <c r="I76" s="100"/>
      <c r="J76" s="100"/>
      <c r="K76" s="101"/>
      <c r="L76" s="71"/>
      <c r="M76" s="95">
        <f t="shared" si="21"/>
      </c>
      <c r="N76" s="48">
        <f t="shared" si="22"/>
        <v>0</v>
      </c>
      <c r="O76" s="48">
        <f t="shared" si="23"/>
        <v>0</v>
      </c>
      <c r="P76" s="48">
        <f t="shared" si="24"/>
        <v>0</v>
      </c>
      <c r="Q76" s="48">
        <f t="shared" si="25"/>
        <v>0</v>
      </c>
      <c r="R76" s="48">
        <f t="shared" si="26"/>
        <v>0</v>
      </c>
      <c r="S76" s="48">
        <f t="shared" si="27"/>
        <v>0</v>
      </c>
      <c r="T76" s="72">
        <f t="shared" si="28"/>
        <v>0</v>
      </c>
      <c r="U76" s="72">
        <f t="shared" si="29"/>
        <v>0</v>
      </c>
      <c r="V76" s="48">
        <v>74</v>
      </c>
      <c r="W76" s="48" t="str">
        <f>IF(Spielereingabe!F82="","Spieler 74",Spielereingabe!F82)</f>
        <v>Spieler 74</v>
      </c>
      <c r="X76" s="48">
        <f t="shared" si="30"/>
        <v>0</v>
      </c>
      <c r="Y76" s="48">
        <f t="shared" si="31"/>
        <v>0</v>
      </c>
      <c r="Z76" s="48">
        <f t="shared" si="32"/>
        <v>0</v>
      </c>
      <c r="AA76" s="48">
        <f t="shared" si="35"/>
        <v>0</v>
      </c>
      <c r="AB76" s="48">
        <f t="shared" si="33"/>
        <v>0</v>
      </c>
      <c r="AC76" s="48">
        <f t="shared" si="34"/>
        <v>0</v>
      </c>
      <c r="AD76" s="48">
        <f t="shared" si="36"/>
        <v>0</v>
      </c>
      <c r="AE76" s="73">
        <f t="shared" si="37"/>
        <v>0</v>
      </c>
      <c r="AG76" s="238"/>
      <c r="AH76" s="239"/>
    </row>
    <row r="77" spans="3:34" ht="10.5" thickBot="1">
      <c r="C77" s="74">
        <v>75</v>
      </c>
      <c r="D77" s="96" t="str">
        <f>IF(D23="Spieler 11","Verlierer 21",IF(E23="Spieler 75","Verlierer 21",IF(D23=E23,"Freilos",IF(E23="Freilos",E23,IF(D23="Freilos",D23,IF(F23&gt;G23,E23,IF(G23&gt;F23,D23,"Verlierer 21")))))))</f>
        <v>Verlierer 21</v>
      </c>
      <c r="E77" s="97" t="str">
        <f>IF(D24="Spieler 43","Verlierer 22",IF(E24="Spieler 107","Verlierer 22",IF(D24=E24,"Freilos",IF(E24="Freilos",E24,IF(D24="Freilos",D24,IF(F24&gt;G24,E24,IF(G24&gt;F24,D24,"Verlierer 22")))))))</f>
        <v>Verlierer 22</v>
      </c>
      <c r="F77" s="98"/>
      <c r="G77" s="99"/>
      <c r="H77" s="100"/>
      <c r="I77" s="100"/>
      <c r="J77" s="100"/>
      <c r="K77" s="101"/>
      <c r="L77" s="71"/>
      <c r="M77" s="95">
        <f t="shared" si="21"/>
      </c>
      <c r="N77" s="48">
        <f t="shared" si="22"/>
        <v>0</v>
      </c>
      <c r="O77" s="48">
        <f t="shared" si="23"/>
        <v>0</v>
      </c>
      <c r="P77" s="48">
        <f t="shared" si="24"/>
        <v>0</v>
      </c>
      <c r="Q77" s="48">
        <f t="shared" si="25"/>
        <v>0</v>
      </c>
      <c r="R77" s="48">
        <f t="shared" si="26"/>
        <v>0</v>
      </c>
      <c r="S77" s="48">
        <f t="shared" si="27"/>
        <v>0</v>
      </c>
      <c r="T77" s="72">
        <f t="shared" si="28"/>
        <v>0</v>
      </c>
      <c r="U77" s="72">
        <f t="shared" si="29"/>
        <v>0</v>
      </c>
      <c r="V77" s="48">
        <v>75</v>
      </c>
      <c r="W77" s="48" t="str">
        <f>IF(Spielereingabe!F83="","Spieler 75",Spielereingabe!F83)</f>
        <v>Spieler 75</v>
      </c>
      <c r="X77" s="48">
        <f t="shared" si="30"/>
        <v>0</v>
      </c>
      <c r="Y77" s="48">
        <f t="shared" si="31"/>
        <v>0</v>
      </c>
      <c r="Z77" s="48">
        <f t="shared" si="32"/>
        <v>0</v>
      </c>
      <c r="AA77" s="48">
        <f t="shared" si="35"/>
        <v>0</v>
      </c>
      <c r="AB77" s="48">
        <f t="shared" si="33"/>
        <v>0</v>
      </c>
      <c r="AC77" s="48">
        <f t="shared" si="34"/>
        <v>0</v>
      </c>
      <c r="AD77" s="48">
        <f t="shared" si="36"/>
        <v>0</v>
      </c>
      <c r="AE77" s="73">
        <f t="shared" si="37"/>
        <v>0</v>
      </c>
      <c r="AG77" s="238"/>
      <c r="AH77" s="239"/>
    </row>
    <row r="78" spans="3:34" ht="10.5" thickBot="1">
      <c r="C78" s="74">
        <v>76</v>
      </c>
      <c r="D78" s="96" t="str">
        <f>IF(D25="Spieler 27","Verlierer 23",IF(E25="Spieler 91","Verlierer 23",IF(D25=E25,"Freilos",IF(E25="Freilos",E25,IF(D25="Freilos",D25,IF(F25&gt;G25,E25,IF(G25&gt;F25,D25,"Verlierer 23")))))))</f>
        <v>Verlierer 23</v>
      </c>
      <c r="E78" s="97" t="str">
        <f>IF(D26="Spieler 59","Verlierer 24",IF(E26="Spieler 123","Verlierer 24",IF(D26=E26,"Freilos",IF(E26="Freilos",E26,IF(D26="Freilos",D26,IF(F26&gt;G26,E26,IF(G26&gt;F26,D26,"Verlierer 24")))))))</f>
        <v>Verlierer 24</v>
      </c>
      <c r="F78" s="98"/>
      <c r="G78" s="99"/>
      <c r="H78" s="100"/>
      <c r="I78" s="100"/>
      <c r="J78" s="100"/>
      <c r="K78" s="101"/>
      <c r="L78" s="71"/>
      <c r="M78" s="95">
        <f t="shared" si="21"/>
      </c>
      <c r="N78" s="48">
        <f t="shared" si="22"/>
        <v>0</v>
      </c>
      <c r="O78" s="48">
        <f t="shared" si="23"/>
        <v>0</v>
      </c>
      <c r="P78" s="48">
        <f t="shared" si="24"/>
        <v>0</v>
      </c>
      <c r="Q78" s="48">
        <f t="shared" si="25"/>
        <v>0</v>
      </c>
      <c r="R78" s="48">
        <f t="shared" si="26"/>
        <v>0</v>
      </c>
      <c r="S78" s="48">
        <f t="shared" si="27"/>
        <v>0</v>
      </c>
      <c r="T78" s="72">
        <f t="shared" si="28"/>
        <v>0</v>
      </c>
      <c r="U78" s="72">
        <f t="shared" si="29"/>
        <v>0</v>
      </c>
      <c r="V78" s="48">
        <v>76</v>
      </c>
      <c r="W78" s="48" t="str">
        <f>IF(Spielereingabe!F84="","Spieler 76",Spielereingabe!F84)</f>
        <v>Spieler 76</v>
      </c>
      <c r="X78" s="48">
        <f t="shared" si="30"/>
        <v>0</v>
      </c>
      <c r="Y78" s="48">
        <f t="shared" si="31"/>
        <v>0</v>
      </c>
      <c r="Z78" s="48">
        <f t="shared" si="32"/>
        <v>0</v>
      </c>
      <c r="AA78" s="48">
        <f t="shared" si="35"/>
        <v>0</v>
      </c>
      <c r="AB78" s="48">
        <f t="shared" si="33"/>
        <v>0</v>
      </c>
      <c r="AC78" s="48">
        <f t="shared" si="34"/>
        <v>0</v>
      </c>
      <c r="AD78" s="48">
        <f t="shared" si="36"/>
        <v>0</v>
      </c>
      <c r="AE78" s="73">
        <f t="shared" si="37"/>
        <v>0</v>
      </c>
      <c r="AG78" s="238"/>
      <c r="AH78" s="239"/>
    </row>
    <row r="79" spans="3:34" ht="10.5" thickBot="1">
      <c r="C79" s="74">
        <v>77</v>
      </c>
      <c r="D79" s="96" t="str">
        <f>IF(D27="Spieler 7","Verlierer 25",IF(E27="Spieler 71","Verlierer 25",IF(D27=E27,"Freilos",IF(E27="Freilos",E27,IF(D27="Freilos",D27,IF(F27&gt;G27,E27,IF(G27&gt;F27,D27,"Verlierer 25")))))))</f>
        <v>Verlierer 25</v>
      </c>
      <c r="E79" s="97" t="str">
        <f>IF(D28="Spieler 39","Verlierer 26",IF(E28="Spieler 103","Verlierer 26",IF(D28=E28,"Freilos",IF(E28="Freilos",E28,IF(D28="Freilos",D28,IF(F28&gt;G28,E28,IF(G28&gt;F28,D28,"Verlierer 26")))))))</f>
        <v>Verlierer 26</v>
      </c>
      <c r="F79" s="98"/>
      <c r="G79" s="99"/>
      <c r="H79" s="100"/>
      <c r="I79" s="100"/>
      <c r="J79" s="100"/>
      <c r="K79" s="101"/>
      <c r="L79" s="71"/>
      <c r="M79" s="95">
        <f t="shared" si="21"/>
      </c>
      <c r="N79" s="48">
        <f t="shared" si="22"/>
        <v>0</v>
      </c>
      <c r="O79" s="48">
        <f t="shared" si="23"/>
        <v>0</v>
      </c>
      <c r="P79" s="48">
        <f t="shared" si="24"/>
        <v>0</v>
      </c>
      <c r="Q79" s="48">
        <f t="shared" si="25"/>
        <v>0</v>
      </c>
      <c r="R79" s="48">
        <f t="shared" si="26"/>
        <v>0</v>
      </c>
      <c r="S79" s="48">
        <f t="shared" si="27"/>
        <v>0</v>
      </c>
      <c r="T79" s="72">
        <f t="shared" si="28"/>
        <v>0</v>
      </c>
      <c r="U79" s="72">
        <f t="shared" si="29"/>
        <v>0</v>
      </c>
      <c r="V79" s="48">
        <v>77</v>
      </c>
      <c r="W79" s="48" t="str">
        <f>IF(Spielereingabe!F85="","Spieler 77",Spielereingabe!F85)</f>
        <v>Spieler 77</v>
      </c>
      <c r="X79" s="48">
        <f t="shared" si="30"/>
        <v>0</v>
      </c>
      <c r="Y79" s="48">
        <f t="shared" si="31"/>
        <v>0</v>
      </c>
      <c r="Z79" s="48">
        <f t="shared" si="32"/>
        <v>0</v>
      </c>
      <c r="AA79" s="48">
        <f t="shared" si="35"/>
        <v>0</v>
      </c>
      <c r="AB79" s="48">
        <f t="shared" si="33"/>
        <v>0</v>
      </c>
      <c r="AC79" s="48">
        <f t="shared" si="34"/>
        <v>0</v>
      </c>
      <c r="AD79" s="48">
        <f t="shared" si="36"/>
        <v>0</v>
      </c>
      <c r="AE79" s="73">
        <f t="shared" si="37"/>
        <v>0</v>
      </c>
      <c r="AG79" s="238"/>
      <c r="AH79" s="239"/>
    </row>
    <row r="80" spans="3:34" ht="10.5" thickBot="1">
      <c r="C80" s="74">
        <v>78</v>
      </c>
      <c r="D80" s="96" t="str">
        <f>IF(D29="Spieler 23","Verlierer 27",IF(E29="Spieler 87","Verlierer 27",IF(D29=E29,"Freilos",IF(E29="Freilos",E29,IF(D29="Freilos",D29,IF(F29&gt;G29,E29,IF(G29&gt;F29,D29,"Verlierer 27")))))))</f>
        <v>Verlierer 27</v>
      </c>
      <c r="E80" s="97" t="str">
        <f>IF(D30="Spieler 55","Verlierer 28",IF(E30="Spieler 119","Verlierer 28",IF(D30=E30,"Freilos",IF(E30="Freilos",E30,IF(D30="Freilos",D30,IF(F30&gt;G30,E30,IF(G30&gt;F30,D30,"Verlierer 28")))))))</f>
        <v>Verlierer 28</v>
      </c>
      <c r="F80" s="98"/>
      <c r="G80" s="99"/>
      <c r="H80" s="100"/>
      <c r="I80" s="100"/>
      <c r="J80" s="100"/>
      <c r="K80" s="101"/>
      <c r="L80" s="71"/>
      <c r="M80" s="95">
        <f t="shared" si="21"/>
      </c>
      <c r="N80" s="48">
        <f t="shared" si="22"/>
        <v>0</v>
      </c>
      <c r="O80" s="48">
        <f t="shared" si="23"/>
        <v>0</v>
      </c>
      <c r="P80" s="48">
        <f t="shared" si="24"/>
        <v>0</v>
      </c>
      <c r="Q80" s="48">
        <f t="shared" si="25"/>
        <v>0</v>
      </c>
      <c r="R80" s="48">
        <f t="shared" si="26"/>
        <v>0</v>
      </c>
      <c r="S80" s="48">
        <f t="shared" si="27"/>
        <v>0</v>
      </c>
      <c r="T80" s="72">
        <f t="shared" si="28"/>
        <v>0</v>
      </c>
      <c r="U80" s="72">
        <f t="shared" si="29"/>
        <v>0</v>
      </c>
      <c r="V80" s="48">
        <v>78</v>
      </c>
      <c r="W80" s="48" t="str">
        <f>IF(Spielereingabe!F86="","Spieler 78",Spielereingabe!F86)</f>
        <v>Spieler 78</v>
      </c>
      <c r="X80" s="48">
        <f t="shared" si="30"/>
        <v>0</v>
      </c>
      <c r="Y80" s="48">
        <f t="shared" si="31"/>
        <v>0</v>
      </c>
      <c r="Z80" s="48">
        <f t="shared" si="32"/>
        <v>0</v>
      </c>
      <c r="AA80" s="48">
        <f t="shared" si="35"/>
        <v>0</v>
      </c>
      <c r="AB80" s="48">
        <f t="shared" si="33"/>
        <v>0</v>
      </c>
      <c r="AC80" s="48">
        <f t="shared" si="34"/>
        <v>0</v>
      </c>
      <c r="AD80" s="48">
        <f t="shared" si="36"/>
        <v>0</v>
      </c>
      <c r="AE80" s="73">
        <f t="shared" si="37"/>
        <v>0</v>
      </c>
      <c r="AG80" s="238"/>
      <c r="AH80" s="239"/>
    </row>
    <row r="81" spans="3:34" ht="10.5" thickBot="1">
      <c r="C81" s="74">
        <v>79</v>
      </c>
      <c r="D81" s="96" t="str">
        <f>IF(D31="Spieler 15","Verlierer 29",IF(E31="Spieler 79","Verlierer 29",IF(D31=E31,"Freilos",IF(E31="Freilos",E31,IF(D31="Freilos",D31,IF(F31&gt;G31,E31,IF(G31&gt;F31,D31,"Verlierer 29")))))))</f>
        <v>Verlierer 29</v>
      </c>
      <c r="E81" s="97" t="str">
        <f>IF(D32="Spieler 47","Verlierer 30",IF(E32="Spieler 111","Verlierer 30",IF(D32=E32,"Freilos",IF(E32="Freilos",E32,IF(D32="Freilos",D32,IF(F32&gt;G32,E32,IF(G32&gt;F32,D32,"Verlierer 30")))))))</f>
        <v>Verlierer 30</v>
      </c>
      <c r="F81" s="98"/>
      <c r="G81" s="99"/>
      <c r="H81" s="100"/>
      <c r="I81" s="100"/>
      <c r="J81" s="100"/>
      <c r="K81" s="101"/>
      <c r="L81" s="71"/>
      <c r="M81" s="95">
        <f t="shared" si="21"/>
      </c>
      <c r="N81" s="48">
        <f t="shared" si="22"/>
        <v>0</v>
      </c>
      <c r="O81" s="48">
        <f t="shared" si="23"/>
        <v>0</v>
      </c>
      <c r="P81" s="48">
        <f t="shared" si="24"/>
        <v>0</v>
      </c>
      <c r="Q81" s="48">
        <f t="shared" si="25"/>
        <v>0</v>
      </c>
      <c r="R81" s="48">
        <f t="shared" si="26"/>
        <v>0</v>
      </c>
      <c r="S81" s="48">
        <f t="shared" si="27"/>
        <v>0</v>
      </c>
      <c r="T81" s="72">
        <f t="shared" si="28"/>
        <v>0</v>
      </c>
      <c r="U81" s="72">
        <f t="shared" si="29"/>
        <v>0</v>
      </c>
      <c r="V81" s="48">
        <v>79</v>
      </c>
      <c r="W81" s="48" t="str">
        <f>IF(Spielereingabe!F87="","Spieler 79",Spielereingabe!F87)</f>
        <v>Spieler 79</v>
      </c>
      <c r="X81" s="48">
        <f t="shared" si="30"/>
        <v>0</v>
      </c>
      <c r="Y81" s="48">
        <f t="shared" si="31"/>
        <v>0</v>
      </c>
      <c r="Z81" s="48">
        <f t="shared" si="32"/>
        <v>0</v>
      </c>
      <c r="AA81" s="48">
        <f t="shared" si="35"/>
        <v>0</v>
      </c>
      <c r="AB81" s="48">
        <f t="shared" si="33"/>
        <v>0</v>
      </c>
      <c r="AC81" s="48">
        <f t="shared" si="34"/>
        <v>0</v>
      </c>
      <c r="AD81" s="48">
        <f t="shared" si="36"/>
        <v>0</v>
      </c>
      <c r="AE81" s="73">
        <f t="shared" si="37"/>
        <v>0</v>
      </c>
      <c r="AG81" s="238"/>
      <c r="AH81" s="239"/>
    </row>
    <row r="82" spans="3:34" ht="10.5" thickBot="1">
      <c r="C82" s="74">
        <v>80</v>
      </c>
      <c r="D82" s="96" t="str">
        <f>IF(D33="Spieler 31","Verlierer 31",IF(E33="Spieler 95","Verlierer 31",IF(D33=E33,"Freilos",IF(E33="Freilos",E33,IF(D33="Freilos",D33,IF(F33&gt;G33,E33,IF(G33&gt;F33,D33,"Verlierer 31")))))))</f>
        <v>Verlierer 31</v>
      </c>
      <c r="E82" s="97" t="str">
        <f>IF(D34="Spieler 63","Verlierer 32",IF(E34="Spieler 127","Verlierer 32",IF(D34=E34,"Freilos",IF(E34="Freilos",E34,IF(D34="Freilos",D34,IF(F34&gt;G34,E34,IF(G34&gt;F34,D34,"Verlierer 32")))))))</f>
        <v>Verlierer 32</v>
      </c>
      <c r="F82" s="98"/>
      <c r="G82" s="99"/>
      <c r="H82" s="100"/>
      <c r="I82" s="100"/>
      <c r="J82" s="100"/>
      <c r="K82" s="101"/>
      <c r="L82" s="71"/>
      <c r="M82" s="95">
        <f t="shared" si="21"/>
      </c>
      <c r="N82" s="48">
        <f t="shared" si="22"/>
        <v>0</v>
      </c>
      <c r="O82" s="48">
        <f t="shared" si="23"/>
        <v>0</v>
      </c>
      <c r="P82" s="48">
        <f t="shared" si="24"/>
        <v>0</v>
      </c>
      <c r="Q82" s="48">
        <f t="shared" si="25"/>
        <v>0</v>
      </c>
      <c r="R82" s="48">
        <f t="shared" si="26"/>
        <v>0</v>
      </c>
      <c r="S82" s="48">
        <f t="shared" si="27"/>
        <v>0</v>
      </c>
      <c r="T82" s="72">
        <f t="shared" si="28"/>
        <v>0</v>
      </c>
      <c r="U82" s="72">
        <f t="shared" si="29"/>
        <v>0</v>
      </c>
      <c r="V82" s="48">
        <v>80</v>
      </c>
      <c r="W82" s="48" t="str">
        <f>IF(Spielereingabe!F88="","Spieler 80",Spielereingabe!F88)</f>
        <v>Spieler 80</v>
      </c>
      <c r="X82" s="48">
        <f t="shared" si="30"/>
        <v>0</v>
      </c>
      <c r="Y82" s="48">
        <f t="shared" si="31"/>
        <v>0</v>
      </c>
      <c r="Z82" s="48">
        <f t="shared" si="32"/>
        <v>0</v>
      </c>
      <c r="AA82" s="48">
        <f t="shared" si="35"/>
        <v>0</v>
      </c>
      <c r="AB82" s="48">
        <f t="shared" si="33"/>
        <v>0</v>
      </c>
      <c r="AC82" s="48">
        <f t="shared" si="34"/>
        <v>0</v>
      </c>
      <c r="AD82" s="48">
        <f t="shared" si="36"/>
        <v>0</v>
      </c>
      <c r="AE82" s="73">
        <f t="shared" si="37"/>
        <v>0</v>
      </c>
      <c r="AG82" s="238"/>
      <c r="AH82" s="239"/>
    </row>
    <row r="83" spans="3:34" ht="10.5" thickBot="1">
      <c r="C83" s="74">
        <v>81</v>
      </c>
      <c r="D83" s="96" t="str">
        <f>IF(D35="Spieler 2","Verlierer 33",IF(E35="Spieler 66","Verlierer 33",IF(D35=E35,"Freilos",IF(E35="Freilos",E35,IF(D35="Freilos",D35,IF(F35&gt;G35,E35,IF(G35&gt;F35,D35,"Verlierer 33")))))))</f>
        <v>Verlierer 33</v>
      </c>
      <c r="E83" s="97" t="str">
        <f>IF(D36="Spieler 34","Verlierer 34",IF(E36="Spieler 98","Verlierer 34",IF(D36=E36,"Freilos",IF(E36="Freilos",E36,IF(D36="Freilos",D36,IF(F36&gt;G36,E36,IF(G36&gt;F36,D36,"Verlierer 34")))))))</f>
        <v>Verlierer 34</v>
      </c>
      <c r="F83" s="98"/>
      <c r="G83" s="99"/>
      <c r="H83" s="100"/>
      <c r="I83" s="100"/>
      <c r="J83" s="100"/>
      <c r="K83" s="101"/>
      <c r="L83" s="71"/>
      <c r="M83" s="95">
        <f t="shared" si="21"/>
      </c>
      <c r="N83" s="48">
        <f t="shared" si="22"/>
        <v>0</v>
      </c>
      <c r="O83" s="48">
        <f t="shared" si="23"/>
        <v>0</v>
      </c>
      <c r="P83" s="48">
        <f t="shared" si="24"/>
        <v>0</v>
      </c>
      <c r="Q83" s="48">
        <f t="shared" si="25"/>
        <v>0</v>
      </c>
      <c r="R83" s="48">
        <f t="shared" si="26"/>
        <v>0</v>
      </c>
      <c r="S83" s="48">
        <f t="shared" si="27"/>
        <v>0</v>
      </c>
      <c r="T83" s="72">
        <f t="shared" si="28"/>
        <v>0</v>
      </c>
      <c r="U83" s="72">
        <f t="shared" si="29"/>
        <v>0</v>
      </c>
      <c r="V83" s="48">
        <v>81</v>
      </c>
      <c r="W83" s="48" t="str">
        <f>IF(Spielereingabe!F89="","Spieler 81",Spielereingabe!F89)</f>
        <v>Spieler 81</v>
      </c>
      <c r="X83" s="48">
        <f t="shared" si="30"/>
        <v>0</v>
      </c>
      <c r="Y83" s="48">
        <f t="shared" si="31"/>
        <v>0</v>
      </c>
      <c r="Z83" s="48">
        <f t="shared" si="32"/>
        <v>0</v>
      </c>
      <c r="AA83" s="48">
        <f t="shared" si="35"/>
        <v>0</v>
      </c>
      <c r="AB83" s="48">
        <f t="shared" si="33"/>
        <v>0</v>
      </c>
      <c r="AC83" s="48">
        <f t="shared" si="34"/>
        <v>0</v>
      </c>
      <c r="AD83" s="48">
        <f t="shared" si="36"/>
        <v>0</v>
      </c>
      <c r="AE83" s="73">
        <f t="shared" si="37"/>
        <v>0</v>
      </c>
      <c r="AG83" s="238"/>
      <c r="AH83" s="239"/>
    </row>
    <row r="84" spans="3:34" ht="10.5" thickBot="1">
      <c r="C84" s="74">
        <v>82</v>
      </c>
      <c r="D84" s="96" t="str">
        <f>IF(D37="Spieler 18","Verlierer 35",IF(E37="Spieler 82","Verlierer 35",IF(D37=E37,"Freilos",IF(E37="Freilos",E37,IF(D37="Freilos",D37,IF(F37&gt;G37,E37,IF(G37&gt;F37,D37,"Verlierer 35")))))))</f>
        <v>Verlierer 35</v>
      </c>
      <c r="E84" s="97" t="str">
        <f>IF(D38="Spieler 50","Verlierer 36",IF(E38="Spieler 114","Verlierer 36",IF(D38=E38,"Freilos",IF(E38="Freilos",E38,IF(D38="Freilos",D38,IF(F38&gt;G38,E38,IF(G38&gt;F38,D38,"Verlierer 36")))))))</f>
        <v>Verlierer 36</v>
      </c>
      <c r="F84" s="98"/>
      <c r="G84" s="99"/>
      <c r="H84" s="100"/>
      <c r="I84" s="100"/>
      <c r="J84" s="100"/>
      <c r="K84" s="101"/>
      <c r="L84" s="71"/>
      <c r="M84" s="95">
        <f t="shared" si="21"/>
      </c>
      <c r="N84" s="48">
        <f t="shared" si="22"/>
        <v>0</v>
      </c>
      <c r="O84" s="48">
        <f t="shared" si="23"/>
        <v>0</v>
      </c>
      <c r="P84" s="48">
        <f t="shared" si="24"/>
        <v>0</v>
      </c>
      <c r="Q84" s="48">
        <f t="shared" si="25"/>
        <v>0</v>
      </c>
      <c r="R84" s="48">
        <f t="shared" si="26"/>
        <v>0</v>
      </c>
      <c r="S84" s="48">
        <f t="shared" si="27"/>
        <v>0</v>
      </c>
      <c r="T84" s="72">
        <f t="shared" si="28"/>
        <v>0</v>
      </c>
      <c r="U84" s="72">
        <f t="shared" si="29"/>
        <v>0</v>
      </c>
      <c r="V84" s="48">
        <v>82</v>
      </c>
      <c r="W84" s="48" t="str">
        <f>IF(Spielereingabe!F90="","Spieler 82",Spielereingabe!F90)</f>
        <v>Spieler 82</v>
      </c>
      <c r="X84" s="48">
        <f t="shared" si="30"/>
        <v>0</v>
      </c>
      <c r="Y84" s="48">
        <f t="shared" si="31"/>
        <v>0</v>
      </c>
      <c r="Z84" s="48">
        <f t="shared" si="32"/>
        <v>0</v>
      </c>
      <c r="AA84" s="48">
        <f t="shared" si="35"/>
        <v>0</v>
      </c>
      <c r="AB84" s="48">
        <f t="shared" si="33"/>
        <v>0</v>
      </c>
      <c r="AC84" s="48">
        <f t="shared" si="34"/>
        <v>0</v>
      </c>
      <c r="AD84" s="48">
        <f t="shared" si="36"/>
        <v>0</v>
      </c>
      <c r="AE84" s="73">
        <f t="shared" si="37"/>
        <v>0</v>
      </c>
      <c r="AG84" s="238"/>
      <c r="AH84" s="239"/>
    </row>
    <row r="85" spans="3:34" ht="10.5" thickBot="1">
      <c r="C85" s="74">
        <v>83</v>
      </c>
      <c r="D85" s="96" t="str">
        <f>IF(D39="Spieler 10","Verlierer 37",IF(E39="Spieler 74","Verlierer 37",IF(D39=E39,"Freilos",IF(E39="Freilos",E39,IF(D39="Freilos",D39,IF(F39&gt;G39,E39,IF(G39&gt;F39,D39,"Verlierer 37")))))))</f>
        <v>Verlierer 37</v>
      </c>
      <c r="E85" s="97" t="str">
        <f>IF(D40="Spieler 42","Verlierer 38",IF(E40="Spieler 106","Verlierer 38",IF(D40=E40,"Freilos",IF(E40="Freilos",E40,IF(D40="Freilos",D40,IF(F40&gt;G40,E40,IF(G40&gt;F40,D40,"Verlierer 38")))))))</f>
        <v>Verlierer 38</v>
      </c>
      <c r="F85" s="98"/>
      <c r="G85" s="99"/>
      <c r="H85" s="100"/>
      <c r="I85" s="100"/>
      <c r="J85" s="100"/>
      <c r="K85" s="101"/>
      <c r="L85" s="71"/>
      <c r="M85" s="95">
        <f t="shared" si="21"/>
      </c>
      <c r="N85" s="48">
        <f t="shared" si="22"/>
        <v>0</v>
      </c>
      <c r="O85" s="48">
        <f t="shared" si="23"/>
        <v>0</v>
      </c>
      <c r="P85" s="48">
        <f t="shared" si="24"/>
        <v>0</v>
      </c>
      <c r="Q85" s="48">
        <f t="shared" si="25"/>
        <v>0</v>
      </c>
      <c r="R85" s="48">
        <f t="shared" si="26"/>
        <v>0</v>
      </c>
      <c r="S85" s="48">
        <f t="shared" si="27"/>
        <v>0</v>
      </c>
      <c r="T85" s="72">
        <f t="shared" si="28"/>
        <v>0</v>
      </c>
      <c r="U85" s="72">
        <f t="shared" si="29"/>
        <v>0</v>
      </c>
      <c r="V85" s="48">
        <v>83</v>
      </c>
      <c r="W85" s="48" t="str">
        <f>IF(Spielereingabe!F91="","Spieler 83",Spielereingabe!F91)</f>
        <v>Spieler 83</v>
      </c>
      <c r="X85" s="48">
        <f t="shared" si="30"/>
        <v>0</v>
      </c>
      <c r="Y85" s="48">
        <f t="shared" si="31"/>
        <v>0</v>
      </c>
      <c r="Z85" s="48">
        <f t="shared" si="32"/>
        <v>0</v>
      </c>
      <c r="AA85" s="48">
        <f t="shared" si="35"/>
        <v>0</v>
      </c>
      <c r="AB85" s="48">
        <f t="shared" si="33"/>
        <v>0</v>
      </c>
      <c r="AC85" s="48">
        <f t="shared" si="34"/>
        <v>0</v>
      </c>
      <c r="AD85" s="48">
        <f t="shared" si="36"/>
        <v>0</v>
      </c>
      <c r="AE85" s="73">
        <f t="shared" si="37"/>
        <v>0</v>
      </c>
      <c r="AG85" s="238"/>
      <c r="AH85" s="239"/>
    </row>
    <row r="86" spans="3:34" ht="10.5" thickBot="1">
      <c r="C86" s="74">
        <v>84</v>
      </c>
      <c r="D86" s="96" t="str">
        <f>IF(D41="Spieler 26","Verlierer 39",IF(E41="Spieler 90","Verlierer 39",IF(D41=E41,"Freilos",IF(E41="Freilos",E41,IF(D41="Freilos",D41,IF(F41&gt;G41,E41,IF(G41&gt;F41,D41,"Verlierer 39")))))))</f>
        <v>Verlierer 39</v>
      </c>
      <c r="E86" s="97" t="str">
        <f>IF(D42="Spieler 58","Verlierer 40",IF(E42="Spieler 122","Verlierer 40",IF(D42=E42,"Freilos",IF(E42="Freilos",E42,IF(D42="Freilos",D42,IF(F42&gt;G42,E42,IF(G42&gt;F42,D42,"Verlierer 40")))))))</f>
        <v>Verlierer 40</v>
      </c>
      <c r="F86" s="98"/>
      <c r="G86" s="99"/>
      <c r="H86" s="100"/>
      <c r="I86" s="100"/>
      <c r="J86" s="100"/>
      <c r="K86" s="101"/>
      <c r="L86" s="71"/>
      <c r="M86" s="95">
        <f t="shared" si="21"/>
      </c>
      <c r="N86" s="48">
        <f t="shared" si="22"/>
        <v>0</v>
      </c>
      <c r="O86" s="48">
        <f t="shared" si="23"/>
        <v>0</v>
      </c>
      <c r="P86" s="48">
        <f t="shared" si="24"/>
        <v>0</v>
      </c>
      <c r="Q86" s="48">
        <f t="shared" si="25"/>
        <v>0</v>
      </c>
      <c r="R86" s="48">
        <f t="shared" si="26"/>
        <v>0</v>
      </c>
      <c r="S86" s="48">
        <f t="shared" si="27"/>
        <v>0</v>
      </c>
      <c r="T86" s="72">
        <f t="shared" si="28"/>
        <v>0</v>
      </c>
      <c r="U86" s="72">
        <f t="shared" si="29"/>
        <v>0</v>
      </c>
      <c r="V86" s="48">
        <v>84</v>
      </c>
      <c r="W86" s="48" t="str">
        <f>IF(Spielereingabe!F92="","Spieler 84",Spielereingabe!F92)</f>
        <v>Spieler 84</v>
      </c>
      <c r="X86" s="48">
        <f t="shared" si="30"/>
        <v>0</v>
      </c>
      <c r="Y86" s="48">
        <f t="shared" si="31"/>
        <v>0</v>
      </c>
      <c r="Z86" s="48">
        <f t="shared" si="32"/>
        <v>0</v>
      </c>
      <c r="AA86" s="48">
        <f t="shared" si="35"/>
        <v>0</v>
      </c>
      <c r="AB86" s="48">
        <f t="shared" si="33"/>
        <v>0</v>
      </c>
      <c r="AC86" s="48">
        <f t="shared" si="34"/>
        <v>0</v>
      </c>
      <c r="AD86" s="48">
        <f t="shared" si="36"/>
        <v>0</v>
      </c>
      <c r="AE86" s="73">
        <f t="shared" si="37"/>
        <v>0</v>
      </c>
      <c r="AG86" s="238"/>
      <c r="AH86" s="239"/>
    </row>
    <row r="87" spans="3:34" ht="10.5" thickBot="1">
      <c r="C87" s="74">
        <v>85</v>
      </c>
      <c r="D87" s="96" t="str">
        <f>IF(D43="Spieler 6","Verlierer 41",IF(E43="Spieler 70","Verlierer 41",IF(D43=E43,"Freilos",IF(E43="Freilos",E43,IF(D43="Freilos",D43,IF(F43&gt;G43,E43,IF(G43&gt;F43,D43,"Verlierer 41")))))))</f>
        <v>Verlierer 41</v>
      </c>
      <c r="E87" s="97" t="str">
        <f>IF(D44="Spieler 38","Verlierer 42",IF(E44="Spieler 102","Verlierer 42",IF(D44=E44,"Freilos",IF(E44="Freilos",E44,IF(D44="Freilos",D44,IF(F44&gt;G44,E44,IF(G44&gt;F44,D44,"Verlierer 42")))))))</f>
        <v>Verlierer 42</v>
      </c>
      <c r="F87" s="98"/>
      <c r="G87" s="99"/>
      <c r="H87" s="100"/>
      <c r="I87" s="100"/>
      <c r="J87" s="100"/>
      <c r="K87" s="101"/>
      <c r="L87" s="71"/>
      <c r="M87" s="95">
        <f t="shared" si="21"/>
      </c>
      <c r="N87" s="48">
        <f t="shared" si="22"/>
        <v>0</v>
      </c>
      <c r="O87" s="48">
        <f t="shared" si="23"/>
        <v>0</v>
      </c>
      <c r="P87" s="48">
        <f t="shared" si="24"/>
        <v>0</v>
      </c>
      <c r="Q87" s="48">
        <f t="shared" si="25"/>
        <v>0</v>
      </c>
      <c r="R87" s="48">
        <f t="shared" si="26"/>
        <v>0</v>
      </c>
      <c r="S87" s="48">
        <f t="shared" si="27"/>
        <v>0</v>
      </c>
      <c r="T87" s="72">
        <f t="shared" si="28"/>
        <v>0</v>
      </c>
      <c r="U87" s="72">
        <f t="shared" si="29"/>
        <v>0</v>
      </c>
      <c r="V87" s="48">
        <v>85</v>
      </c>
      <c r="W87" s="48" t="str">
        <f>IF(Spielereingabe!F93="","Spieler 85",Spielereingabe!F93)</f>
        <v>Spieler 85</v>
      </c>
      <c r="X87" s="48">
        <f t="shared" si="30"/>
        <v>0</v>
      </c>
      <c r="Y87" s="48">
        <f t="shared" si="31"/>
        <v>0</v>
      </c>
      <c r="Z87" s="48">
        <f t="shared" si="32"/>
        <v>0</v>
      </c>
      <c r="AA87" s="48">
        <f t="shared" si="35"/>
        <v>0</v>
      </c>
      <c r="AB87" s="48">
        <f t="shared" si="33"/>
        <v>0</v>
      </c>
      <c r="AC87" s="48">
        <f t="shared" si="34"/>
        <v>0</v>
      </c>
      <c r="AD87" s="48">
        <f t="shared" si="36"/>
        <v>0</v>
      </c>
      <c r="AE87" s="73">
        <f t="shared" si="37"/>
        <v>0</v>
      </c>
      <c r="AG87" s="238"/>
      <c r="AH87" s="239"/>
    </row>
    <row r="88" spans="3:34" ht="10.5" thickBot="1">
      <c r="C88" s="74">
        <v>86</v>
      </c>
      <c r="D88" s="96" t="str">
        <f>IF(D45="Spieler 22","Verlierer 43",IF(E45="Spieler 86","Verlierer 43",IF(D45=E45,"Freilos",IF(E45="Freilos",E45,IF(D45="Freilos",D45,IF(F45&gt;G45,E45,IF(G45&gt;F45,D45,"Verlierer 43")))))))</f>
        <v>Verlierer 43</v>
      </c>
      <c r="E88" s="97" t="str">
        <f>IF(D46="Spieler 54","Verlierer 44",IF(E46="Spieler 118","Verlierer 44",IF(D46=E46,"Freilos",IF(E46="Freilos",E46,IF(D46="Freilos",D46,IF(F46&gt;G46,E46,IF(G46&gt;F46,D46,"Verlierer 44")))))))</f>
        <v>Verlierer 44</v>
      </c>
      <c r="F88" s="98"/>
      <c r="G88" s="99"/>
      <c r="H88" s="100"/>
      <c r="I88" s="100"/>
      <c r="J88" s="100"/>
      <c r="K88" s="101"/>
      <c r="L88" s="71"/>
      <c r="M88" s="95">
        <f t="shared" si="21"/>
      </c>
      <c r="N88" s="48">
        <f t="shared" si="22"/>
        <v>0</v>
      </c>
      <c r="O88" s="48">
        <f t="shared" si="23"/>
        <v>0</v>
      </c>
      <c r="P88" s="48">
        <f t="shared" si="24"/>
        <v>0</v>
      </c>
      <c r="Q88" s="48">
        <f t="shared" si="25"/>
        <v>0</v>
      </c>
      <c r="R88" s="48">
        <f t="shared" si="26"/>
        <v>0</v>
      </c>
      <c r="S88" s="48">
        <f t="shared" si="27"/>
        <v>0</v>
      </c>
      <c r="T88" s="72">
        <f t="shared" si="28"/>
        <v>0</v>
      </c>
      <c r="U88" s="72">
        <f t="shared" si="29"/>
        <v>0</v>
      </c>
      <c r="V88" s="48">
        <v>86</v>
      </c>
      <c r="W88" s="48" t="str">
        <f>IF(Spielereingabe!F94="","Spieler 86",Spielereingabe!F94)</f>
        <v>Spieler 86</v>
      </c>
      <c r="X88" s="48">
        <f t="shared" si="30"/>
        <v>0</v>
      </c>
      <c r="Y88" s="48">
        <f t="shared" si="31"/>
        <v>0</v>
      </c>
      <c r="Z88" s="48">
        <f t="shared" si="32"/>
        <v>0</v>
      </c>
      <c r="AA88" s="48">
        <f t="shared" si="35"/>
        <v>0</v>
      </c>
      <c r="AB88" s="48">
        <f t="shared" si="33"/>
        <v>0</v>
      </c>
      <c r="AC88" s="48">
        <f t="shared" si="34"/>
        <v>0</v>
      </c>
      <c r="AD88" s="48">
        <f t="shared" si="36"/>
        <v>0</v>
      </c>
      <c r="AE88" s="73">
        <f t="shared" si="37"/>
        <v>0</v>
      </c>
      <c r="AG88" s="238"/>
      <c r="AH88" s="239"/>
    </row>
    <row r="89" spans="3:34" ht="10.5" thickBot="1">
      <c r="C89" s="74">
        <v>87</v>
      </c>
      <c r="D89" s="96" t="str">
        <f>IF(D47="Spieler 14","Verlierer 45",IF(E47="Spieler 78","Verlierer 45",IF(D47=E47,"Freilos",IF(E47="Freilos",E47,IF(D47="Freilos",D47,IF(F47&gt;G47,E47,IF(G47&gt;F47,D47,"Verlierer 45")))))))</f>
        <v>Verlierer 45</v>
      </c>
      <c r="E89" s="97" t="str">
        <f>IF(D48="Spieler 48","Verlierer 46",IF(E48="Spieler 112","Verlierer 46",IF(D48=E48,"Freilos",IF(E48="Freilos",E48,IF(D48="Freilos",D48,IF(F48&gt;G48,E48,IF(G48&gt;F48,D48,"Verlierer 46")))))))</f>
        <v>Verlierer 46</v>
      </c>
      <c r="F89" s="98"/>
      <c r="G89" s="99"/>
      <c r="H89" s="100"/>
      <c r="I89" s="100"/>
      <c r="J89" s="100"/>
      <c r="K89" s="101"/>
      <c r="L89" s="71"/>
      <c r="M89" s="95">
        <f t="shared" si="21"/>
      </c>
      <c r="N89" s="48">
        <f t="shared" si="22"/>
        <v>0</v>
      </c>
      <c r="O89" s="48">
        <f t="shared" si="23"/>
        <v>0</v>
      </c>
      <c r="P89" s="48">
        <f t="shared" si="24"/>
        <v>0</v>
      </c>
      <c r="Q89" s="48">
        <f t="shared" si="25"/>
        <v>0</v>
      </c>
      <c r="R89" s="48">
        <f t="shared" si="26"/>
        <v>0</v>
      </c>
      <c r="S89" s="48">
        <f t="shared" si="27"/>
        <v>0</v>
      </c>
      <c r="T89" s="72">
        <f t="shared" si="28"/>
        <v>0</v>
      </c>
      <c r="U89" s="72">
        <f t="shared" si="29"/>
        <v>0</v>
      </c>
      <c r="V89" s="48">
        <v>87</v>
      </c>
      <c r="W89" s="48" t="str">
        <f>IF(Spielereingabe!F95="","Spieler 87",Spielereingabe!F95)</f>
        <v>Spieler 87</v>
      </c>
      <c r="X89" s="48">
        <f t="shared" si="30"/>
        <v>0</v>
      </c>
      <c r="Y89" s="48">
        <f t="shared" si="31"/>
        <v>0</v>
      </c>
      <c r="Z89" s="48">
        <f t="shared" si="32"/>
        <v>0</v>
      </c>
      <c r="AA89" s="48">
        <f t="shared" si="35"/>
        <v>0</v>
      </c>
      <c r="AB89" s="48">
        <f t="shared" si="33"/>
        <v>0</v>
      </c>
      <c r="AC89" s="48">
        <f t="shared" si="34"/>
        <v>0</v>
      </c>
      <c r="AD89" s="48">
        <f t="shared" si="36"/>
        <v>0</v>
      </c>
      <c r="AE89" s="73">
        <f t="shared" si="37"/>
        <v>0</v>
      </c>
      <c r="AG89" s="238"/>
      <c r="AH89" s="239"/>
    </row>
    <row r="90" spans="3:34" ht="10.5" thickBot="1">
      <c r="C90" s="74">
        <v>88</v>
      </c>
      <c r="D90" s="96" t="str">
        <f>IF(D49="Spieler 30","Verlierer 47",IF(E49="Spieler 94","Verlierer 47",IF(D49=E49,"Freilos",IF(E49="Freilos",E49,IF(D49="Freilos",D49,IF(F49&gt;G49,E49,IF(G49&gt;F49,D49,"Verlierer 47")))))))</f>
        <v>Verlierer 47</v>
      </c>
      <c r="E90" s="97" t="str">
        <f>IF(D50="Spieler 62","Verlierer 48",IF(E50="Spieler 126","Verlierer 48",IF(D50=E50,"Freilos",IF(E50="Freilos",E50,IF(D50="Freilos",D50,IF(F50&gt;G50,E50,IF(G50&gt;F50,D50,"Verlierer 48")))))))</f>
        <v>Verlierer 48</v>
      </c>
      <c r="F90" s="98"/>
      <c r="G90" s="99"/>
      <c r="H90" s="100"/>
      <c r="I90" s="100"/>
      <c r="J90" s="100"/>
      <c r="K90" s="101"/>
      <c r="L90" s="71"/>
      <c r="M90" s="95">
        <f t="shared" si="21"/>
      </c>
      <c r="N90" s="48">
        <f t="shared" si="22"/>
        <v>0</v>
      </c>
      <c r="O90" s="48">
        <f t="shared" si="23"/>
        <v>0</v>
      </c>
      <c r="P90" s="48">
        <f t="shared" si="24"/>
        <v>0</v>
      </c>
      <c r="Q90" s="48">
        <f t="shared" si="25"/>
        <v>0</v>
      </c>
      <c r="R90" s="48">
        <f t="shared" si="26"/>
        <v>0</v>
      </c>
      <c r="S90" s="48">
        <f t="shared" si="27"/>
        <v>0</v>
      </c>
      <c r="T90" s="72">
        <f t="shared" si="28"/>
        <v>0</v>
      </c>
      <c r="U90" s="72">
        <f t="shared" si="29"/>
        <v>0</v>
      </c>
      <c r="V90" s="48">
        <v>88</v>
      </c>
      <c r="W90" s="48" t="str">
        <f>IF(Spielereingabe!F96="","Spieler 88",Spielereingabe!F96)</f>
        <v>Spieler 88</v>
      </c>
      <c r="X90" s="48">
        <f t="shared" si="30"/>
        <v>0</v>
      </c>
      <c r="Y90" s="48">
        <f t="shared" si="31"/>
        <v>0</v>
      </c>
      <c r="Z90" s="48">
        <f t="shared" si="32"/>
        <v>0</v>
      </c>
      <c r="AA90" s="48">
        <f t="shared" si="35"/>
        <v>0</v>
      </c>
      <c r="AB90" s="48">
        <f t="shared" si="33"/>
        <v>0</v>
      </c>
      <c r="AC90" s="48">
        <f t="shared" si="34"/>
        <v>0</v>
      </c>
      <c r="AD90" s="48">
        <f t="shared" si="36"/>
        <v>0</v>
      </c>
      <c r="AE90" s="73">
        <f t="shared" si="37"/>
        <v>0</v>
      </c>
      <c r="AG90" s="238"/>
      <c r="AH90" s="239"/>
    </row>
    <row r="91" spans="3:34" ht="10.5" thickBot="1">
      <c r="C91" s="74">
        <v>89</v>
      </c>
      <c r="D91" s="96" t="str">
        <f>IF(D51="Spieler 4","Verlierer 49",IF(E51="Spieler 68","Verlierer 49",IF(D51=E51,"Freilos",IF(E51="Freilos",E51,IF(D51="Freilos",D51,IF(F51&gt;G51,E51,IF(G51&gt;F51,D51,"Verlierer 49")))))))</f>
        <v>Verlierer 49</v>
      </c>
      <c r="E91" s="97" t="str">
        <f>IF(D52="Spieler 36","Verlierer 50",IF(E52="Spieler 100","Verlierer 50",IF(D52=E52,"Freilos",IF(E52="Freilos",E52,IF(D52="Freilos",D52,IF(F52&gt;G52,E52,IF(G52&gt;F52,D52,"Verlierer 50")))))))</f>
        <v>Verlierer 50</v>
      </c>
      <c r="F91" s="98"/>
      <c r="G91" s="99"/>
      <c r="H91" s="100"/>
      <c r="I91" s="100"/>
      <c r="J91" s="100"/>
      <c r="K91" s="101"/>
      <c r="L91" s="71"/>
      <c r="M91" s="95">
        <f t="shared" si="21"/>
      </c>
      <c r="N91" s="48">
        <f t="shared" si="22"/>
        <v>0</v>
      </c>
      <c r="O91" s="48">
        <f t="shared" si="23"/>
        <v>0</v>
      </c>
      <c r="P91" s="48">
        <f t="shared" si="24"/>
        <v>0</v>
      </c>
      <c r="Q91" s="48">
        <f t="shared" si="25"/>
        <v>0</v>
      </c>
      <c r="R91" s="48">
        <f t="shared" si="26"/>
        <v>0</v>
      </c>
      <c r="S91" s="48">
        <f t="shared" si="27"/>
        <v>0</v>
      </c>
      <c r="T91" s="72">
        <f t="shared" si="28"/>
        <v>0</v>
      </c>
      <c r="U91" s="72">
        <f t="shared" si="29"/>
        <v>0</v>
      </c>
      <c r="V91" s="48">
        <v>89</v>
      </c>
      <c r="W91" s="48" t="str">
        <f>IF(Spielereingabe!F97="","Spieler 89",Spielereingabe!F97)</f>
        <v>Spieler 89</v>
      </c>
      <c r="X91" s="48">
        <f t="shared" si="30"/>
        <v>0</v>
      </c>
      <c r="Y91" s="48">
        <f t="shared" si="31"/>
        <v>0</v>
      </c>
      <c r="Z91" s="48">
        <f t="shared" si="32"/>
        <v>0</v>
      </c>
      <c r="AA91" s="48">
        <f t="shared" si="35"/>
        <v>0</v>
      </c>
      <c r="AB91" s="48">
        <f t="shared" si="33"/>
        <v>0</v>
      </c>
      <c r="AC91" s="48">
        <f t="shared" si="34"/>
        <v>0</v>
      </c>
      <c r="AD91" s="48">
        <f t="shared" si="36"/>
        <v>0</v>
      </c>
      <c r="AE91" s="73">
        <f t="shared" si="37"/>
        <v>0</v>
      </c>
      <c r="AG91" s="238"/>
      <c r="AH91" s="239"/>
    </row>
    <row r="92" spans="3:34" ht="10.5" thickBot="1">
      <c r="C92" s="74">
        <v>90</v>
      </c>
      <c r="D92" s="96" t="str">
        <f>IF(D53="Spieler 20","Verlierer 51",IF(E53="Spieler 84","Verlierer 51",IF(D53=E53,"Freilos",IF(E53="Freilos",E53,IF(D53="Freilos",D53,IF(F53&gt;G53,E53,IF(G53&gt;F53,D53,"Verlierer 51")))))))</f>
        <v>Verlierer 51</v>
      </c>
      <c r="E92" s="97" t="str">
        <f>IF(D54="Spieler 52","Verlierer 52",IF(E54="Spieler 116","Verlierer 52",IF(D54=E54,"Freilos",IF(E54="Freilos",E54,IF(D54="Freilos",D54,IF(F54&gt;G54,E54,IF(G54&gt;F54,D54,"Verlierer 52")))))))</f>
        <v>Verlierer 52</v>
      </c>
      <c r="F92" s="98"/>
      <c r="G92" s="99"/>
      <c r="H92" s="100"/>
      <c r="I92" s="100"/>
      <c r="J92" s="100"/>
      <c r="K92" s="101"/>
      <c r="L92" s="71"/>
      <c r="M92" s="95">
        <f t="shared" si="21"/>
      </c>
      <c r="N92" s="48">
        <f t="shared" si="22"/>
        <v>0</v>
      </c>
      <c r="O92" s="48">
        <f t="shared" si="23"/>
        <v>0</v>
      </c>
      <c r="P92" s="48">
        <f t="shared" si="24"/>
        <v>0</v>
      </c>
      <c r="Q92" s="48">
        <f t="shared" si="25"/>
        <v>0</v>
      </c>
      <c r="R92" s="48">
        <f t="shared" si="26"/>
        <v>0</v>
      </c>
      <c r="S92" s="48">
        <f t="shared" si="27"/>
        <v>0</v>
      </c>
      <c r="T92" s="72">
        <f t="shared" si="28"/>
        <v>0</v>
      </c>
      <c r="U92" s="72">
        <f t="shared" si="29"/>
        <v>0</v>
      </c>
      <c r="V92" s="48">
        <v>90</v>
      </c>
      <c r="W92" s="48" t="str">
        <f>IF(Spielereingabe!F98="","Spieler 90",Spielereingabe!F98)</f>
        <v>Spieler 90</v>
      </c>
      <c r="X92" s="48">
        <f t="shared" si="30"/>
        <v>0</v>
      </c>
      <c r="Y92" s="48">
        <f t="shared" si="31"/>
        <v>0</v>
      </c>
      <c r="Z92" s="48">
        <f t="shared" si="32"/>
        <v>0</v>
      </c>
      <c r="AA92" s="48">
        <f t="shared" si="35"/>
        <v>0</v>
      </c>
      <c r="AB92" s="48">
        <f t="shared" si="33"/>
        <v>0</v>
      </c>
      <c r="AC92" s="48">
        <f t="shared" si="34"/>
        <v>0</v>
      </c>
      <c r="AD92" s="48">
        <f t="shared" si="36"/>
        <v>0</v>
      </c>
      <c r="AE92" s="73">
        <f t="shared" si="37"/>
        <v>0</v>
      </c>
      <c r="AG92" s="238"/>
      <c r="AH92" s="239"/>
    </row>
    <row r="93" spans="3:34" ht="10.5" thickBot="1">
      <c r="C93" s="74">
        <v>91</v>
      </c>
      <c r="D93" s="96" t="str">
        <f>IF(D55="Spieler 12","Verlierer 53",IF(E55="Spieler 76","Verlierer 53",IF(D55=E55,"Freilos",IF(E55="Freilos",E55,IF(D55="Freilos",D55,IF(F55&gt;G55,E55,IF(G55&gt;F55,D55,"Verlierer 53")))))))</f>
        <v>Verlierer 53</v>
      </c>
      <c r="E93" s="97" t="str">
        <f>IF(D56="Spieler 44","Verlierer 54",IF(E56="Spieler 108","Verlierer 54",IF(D56=E56,"Freilos",IF(E56="Freilos",E56,IF(D56="Freilos",D56,IF(F56&gt;G56,E56,IF(G56&gt;F56,D56,"Verlierer 54")))))))</f>
        <v>Verlierer 54</v>
      </c>
      <c r="F93" s="98"/>
      <c r="G93" s="99"/>
      <c r="H93" s="100"/>
      <c r="I93" s="100"/>
      <c r="J93" s="100"/>
      <c r="K93" s="101"/>
      <c r="L93" s="71"/>
      <c r="M93" s="95">
        <f t="shared" si="21"/>
      </c>
      <c r="N93" s="48">
        <f t="shared" si="22"/>
        <v>0</v>
      </c>
      <c r="O93" s="48">
        <f t="shared" si="23"/>
        <v>0</v>
      </c>
      <c r="P93" s="48">
        <f t="shared" si="24"/>
        <v>0</v>
      </c>
      <c r="Q93" s="48">
        <f t="shared" si="25"/>
        <v>0</v>
      </c>
      <c r="R93" s="48">
        <f t="shared" si="26"/>
        <v>0</v>
      </c>
      <c r="S93" s="48">
        <f t="shared" si="27"/>
        <v>0</v>
      </c>
      <c r="T93" s="72">
        <f t="shared" si="28"/>
        <v>0</v>
      </c>
      <c r="U93" s="72">
        <f t="shared" si="29"/>
        <v>0</v>
      </c>
      <c r="V93" s="48">
        <v>91</v>
      </c>
      <c r="W93" s="48" t="str">
        <f>IF(Spielereingabe!F99="","Spieler 91",Spielereingabe!F99)</f>
        <v>Spieler 91</v>
      </c>
      <c r="X93" s="48">
        <f t="shared" si="30"/>
        <v>0</v>
      </c>
      <c r="Y93" s="48">
        <f t="shared" si="31"/>
        <v>0</v>
      </c>
      <c r="Z93" s="48">
        <f t="shared" si="32"/>
        <v>0</v>
      </c>
      <c r="AA93" s="48">
        <f t="shared" si="35"/>
        <v>0</v>
      </c>
      <c r="AB93" s="48">
        <f t="shared" si="33"/>
        <v>0</v>
      </c>
      <c r="AC93" s="48">
        <f t="shared" si="34"/>
        <v>0</v>
      </c>
      <c r="AD93" s="48">
        <f t="shared" si="36"/>
        <v>0</v>
      </c>
      <c r="AE93" s="73">
        <f t="shared" si="37"/>
        <v>0</v>
      </c>
      <c r="AG93" s="238"/>
      <c r="AH93" s="239"/>
    </row>
    <row r="94" spans="3:34" ht="10.5" thickBot="1">
      <c r="C94" s="74">
        <v>92</v>
      </c>
      <c r="D94" s="96" t="str">
        <f>IF(D57="Spieler 28","Verlierer 55",IF(E57="Spieler 92","Verlierer 55",IF(D57=E57,"Freilos",IF(E57="Freilos",E57,IF(D57="Freilos",D57,IF(F57&gt;G57,E57,IF(G57&gt;F57,D57,"Verlierer 55")))))))</f>
        <v>Verlierer 55</v>
      </c>
      <c r="E94" s="97" t="str">
        <f>IF(D58="Spieler 60","Verlierer 56",IF(E58="Spieler 124","Verlierer 56",IF(D58=E58,"Freilos",IF(E58="Freilos",E58,IF(D58="Freilos",D58,IF(F58&gt;G58,E58,IF(G58&gt;F58,D58,"Verlierer 56")))))))</f>
        <v>Verlierer 56</v>
      </c>
      <c r="F94" s="98"/>
      <c r="G94" s="99"/>
      <c r="H94" s="100"/>
      <c r="I94" s="100"/>
      <c r="J94" s="100"/>
      <c r="K94" s="101"/>
      <c r="L94" s="71"/>
      <c r="M94" s="95">
        <f t="shared" si="21"/>
      </c>
      <c r="N94" s="48">
        <f t="shared" si="22"/>
        <v>0</v>
      </c>
      <c r="O94" s="48">
        <f t="shared" si="23"/>
        <v>0</v>
      </c>
      <c r="P94" s="48">
        <f t="shared" si="24"/>
        <v>0</v>
      </c>
      <c r="Q94" s="48">
        <f t="shared" si="25"/>
        <v>0</v>
      </c>
      <c r="R94" s="48">
        <f t="shared" si="26"/>
        <v>0</v>
      </c>
      <c r="S94" s="48">
        <f t="shared" si="27"/>
        <v>0</v>
      </c>
      <c r="T94" s="72">
        <f t="shared" si="28"/>
        <v>0</v>
      </c>
      <c r="U94" s="72">
        <f t="shared" si="29"/>
        <v>0</v>
      </c>
      <c r="V94" s="48">
        <v>92</v>
      </c>
      <c r="W94" s="48" t="str">
        <f>IF(Spielereingabe!F100="","Spieler 92",Spielereingabe!F100)</f>
        <v>Spieler 92</v>
      </c>
      <c r="X94" s="48">
        <f t="shared" si="30"/>
        <v>0</v>
      </c>
      <c r="Y94" s="48">
        <f t="shared" si="31"/>
        <v>0</v>
      </c>
      <c r="Z94" s="48">
        <f t="shared" si="32"/>
        <v>0</v>
      </c>
      <c r="AA94" s="48">
        <f t="shared" si="35"/>
        <v>0</v>
      </c>
      <c r="AB94" s="48">
        <f t="shared" si="33"/>
        <v>0</v>
      </c>
      <c r="AC94" s="48">
        <f t="shared" si="34"/>
        <v>0</v>
      </c>
      <c r="AD94" s="48">
        <f t="shared" si="36"/>
        <v>0</v>
      </c>
      <c r="AE94" s="73">
        <f t="shared" si="37"/>
        <v>0</v>
      </c>
      <c r="AG94" s="238"/>
      <c r="AH94" s="239"/>
    </row>
    <row r="95" spans="3:34" ht="10.5" thickBot="1">
      <c r="C95" s="74">
        <v>93</v>
      </c>
      <c r="D95" s="96" t="str">
        <f>IF(D59="Spieler 8","Verlierer 57",IF(E59="Spieler 72","Verlierer 57",IF(D59=E59,"Freilos",IF(E59="Freilos",E59,IF(D59="Freilos",D59,IF(F59&gt;G59,E59,IF(G59&gt;F59,D59,"Verlierer 57")))))))</f>
        <v>Verlierer 57</v>
      </c>
      <c r="E95" s="97" t="str">
        <f>IF(D60="Spieler 40","Verlierer 58",IF(E60="Spieler 104","Verlierer 58",IF(D60=E60,"Freilos",IF(E60="Freilos",E60,IF(D60="Freilos",D60,IF(F60&gt;G60,E60,IF(G60&gt;F60,D60,"Verlierer 58")))))))</f>
        <v>Verlierer 58</v>
      </c>
      <c r="F95" s="98"/>
      <c r="G95" s="99"/>
      <c r="H95" s="100"/>
      <c r="I95" s="100"/>
      <c r="J95" s="100"/>
      <c r="K95" s="101"/>
      <c r="L95" s="71"/>
      <c r="M95" s="95">
        <f t="shared" si="21"/>
      </c>
      <c r="N95" s="48">
        <f t="shared" si="22"/>
        <v>0</v>
      </c>
      <c r="O95" s="48">
        <f t="shared" si="23"/>
        <v>0</v>
      </c>
      <c r="P95" s="48">
        <f t="shared" si="24"/>
        <v>0</v>
      </c>
      <c r="Q95" s="48">
        <f t="shared" si="25"/>
        <v>0</v>
      </c>
      <c r="R95" s="48">
        <f t="shared" si="26"/>
        <v>0</v>
      </c>
      <c r="S95" s="48">
        <f t="shared" si="27"/>
        <v>0</v>
      </c>
      <c r="T95" s="72">
        <f t="shared" si="28"/>
        <v>0</v>
      </c>
      <c r="U95" s="72">
        <f t="shared" si="29"/>
        <v>0</v>
      </c>
      <c r="V95" s="48">
        <v>93</v>
      </c>
      <c r="W95" s="48" t="str">
        <f>IF(Spielereingabe!F101="","Spieler 93",Spielereingabe!F101)</f>
        <v>Spieler 93</v>
      </c>
      <c r="X95" s="48">
        <f t="shared" si="30"/>
        <v>0</v>
      </c>
      <c r="Y95" s="48">
        <f t="shared" si="31"/>
        <v>0</v>
      </c>
      <c r="Z95" s="48">
        <f t="shared" si="32"/>
        <v>0</v>
      </c>
      <c r="AA95" s="48">
        <f t="shared" si="35"/>
        <v>0</v>
      </c>
      <c r="AB95" s="48">
        <f t="shared" si="33"/>
        <v>0</v>
      </c>
      <c r="AC95" s="48">
        <f t="shared" si="34"/>
        <v>0</v>
      </c>
      <c r="AD95" s="48">
        <f t="shared" si="36"/>
        <v>0</v>
      </c>
      <c r="AE95" s="73">
        <f t="shared" si="37"/>
        <v>0</v>
      </c>
      <c r="AG95" s="238"/>
      <c r="AH95" s="239"/>
    </row>
    <row r="96" spans="3:34" ht="10.5" thickBot="1">
      <c r="C96" s="74">
        <v>94</v>
      </c>
      <c r="D96" s="96" t="str">
        <f>IF(D61="Spieler 24","Verlierer 59",IF(E61="Spieler 88","Verlierer 59",IF(D61=E61,"Freilos",IF(E61="Freilos",E61,IF(D61="Freilos",D61,IF(F61&gt;G61,E61,IF(G61&gt;F61,D61,"Verlierer 59")))))))</f>
        <v>Verlierer 59</v>
      </c>
      <c r="E96" s="97" t="str">
        <f>IF(D62="Spieler 56","Verlierer 60",IF(E62="Spieler 120","Verlierer 60",IF(D62=E62,"Freilos",IF(E62="Freilos",E62,IF(D62="Freilos",D62,IF(F62&gt;G62,E62,IF(G62&gt;F62,D62,"Verlierer 60")))))))</f>
        <v>Verlierer 60</v>
      </c>
      <c r="F96" s="98"/>
      <c r="G96" s="99"/>
      <c r="H96" s="100"/>
      <c r="I96" s="100"/>
      <c r="J96" s="100"/>
      <c r="K96" s="101"/>
      <c r="L96" s="71"/>
      <c r="M96" s="95">
        <f t="shared" si="21"/>
      </c>
      <c r="N96" s="48">
        <f t="shared" si="22"/>
        <v>0</v>
      </c>
      <c r="O96" s="48">
        <f t="shared" si="23"/>
        <v>0</v>
      </c>
      <c r="P96" s="48">
        <f t="shared" si="24"/>
        <v>0</v>
      </c>
      <c r="Q96" s="48">
        <f t="shared" si="25"/>
        <v>0</v>
      </c>
      <c r="R96" s="48">
        <f t="shared" si="26"/>
        <v>0</v>
      </c>
      <c r="S96" s="48">
        <f t="shared" si="27"/>
        <v>0</v>
      </c>
      <c r="T96" s="72">
        <f t="shared" si="28"/>
        <v>0</v>
      </c>
      <c r="U96" s="72">
        <f t="shared" si="29"/>
        <v>0</v>
      </c>
      <c r="V96" s="48">
        <v>94</v>
      </c>
      <c r="W96" s="48" t="str">
        <f>IF(Spielereingabe!F102="","Spieler 94",Spielereingabe!F102)</f>
        <v>Spieler 94</v>
      </c>
      <c r="X96" s="48">
        <f t="shared" si="30"/>
        <v>0</v>
      </c>
      <c r="Y96" s="48">
        <f t="shared" si="31"/>
        <v>0</v>
      </c>
      <c r="Z96" s="48">
        <f t="shared" si="32"/>
        <v>0</v>
      </c>
      <c r="AA96" s="48">
        <f t="shared" si="35"/>
        <v>0</v>
      </c>
      <c r="AB96" s="48">
        <f t="shared" si="33"/>
        <v>0</v>
      </c>
      <c r="AC96" s="48">
        <f t="shared" si="34"/>
        <v>0</v>
      </c>
      <c r="AD96" s="48">
        <f t="shared" si="36"/>
        <v>0</v>
      </c>
      <c r="AE96" s="73">
        <f t="shared" si="37"/>
        <v>0</v>
      </c>
      <c r="AG96" s="238"/>
      <c r="AH96" s="239"/>
    </row>
    <row r="97" spans="3:34" ht="10.5" thickBot="1">
      <c r="C97" s="74">
        <v>95</v>
      </c>
      <c r="D97" s="96" t="str">
        <f>IF(D63="Spieler 16","Verlierer 61",IF(E63="Spieler 80","Verlierer 61",IF(D63=E63,"Freilos",IF(E63="Freilos",E63,IF(D63="Freilos",D63,IF(F63&gt;G63,E63,IF(G63&gt;F63,D63,"Verlierer 61")))))))</f>
        <v>Verlierer 61</v>
      </c>
      <c r="E97" s="97" t="str">
        <f>IF(D64="Spieler 48","Verlierer 62",IF(E64="Spieler 112","Verlierer 62",IF(D64=E64,"Freilos",IF(E64="Freilos",E64,IF(D64="Freilos",D64,IF(F64&gt;G64,E64,IF(G64&gt;F64,D64,"Verlierer 62")))))))</f>
        <v>Verlierer 62</v>
      </c>
      <c r="F97" s="98"/>
      <c r="G97" s="99"/>
      <c r="H97" s="100"/>
      <c r="I97" s="100"/>
      <c r="J97" s="100"/>
      <c r="K97" s="101"/>
      <c r="L97" s="71"/>
      <c r="M97" s="95">
        <f t="shared" si="21"/>
      </c>
      <c r="N97" s="48">
        <f t="shared" si="22"/>
        <v>0</v>
      </c>
      <c r="O97" s="48">
        <f t="shared" si="23"/>
        <v>0</v>
      </c>
      <c r="P97" s="48">
        <f t="shared" si="24"/>
        <v>0</v>
      </c>
      <c r="Q97" s="48">
        <f t="shared" si="25"/>
        <v>0</v>
      </c>
      <c r="R97" s="48">
        <f t="shared" si="26"/>
        <v>0</v>
      </c>
      <c r="S97" s="48">
        <f t="shared" si="27"/>
        <v>0</v>
      </c>
      <c r="T97" s="72">
        <f t="shared" si="28"/>
        <v>0</v>
      </c>
      <c r="U97" s="72">
        <f t="shared" si="29"/>
        <v>0</v>
      </c>
      <c r="V97" s="48">
        <v>95</v>
      </c>
      <c r="W97" s="48" t="str">
        <f>IF(Spielereingabe!F103="","Spieler 95",Spielereingabe!F103)</f>
        <v>Spieler 95</v>
      </c>
      <c r="X97" s="48">
        <f t="shared" si="30"/>
        <v>0</v>
      </c>
      <c r="Y97" s="48">
        <f t="shared" si="31"/>
        <v>0</v>
      </c>
      <c r="Z97" s="48">
        <f t="shared" si="32"/>
        <v>0</v>
      </c>
      <c r="AA97" s="48">
        <f t="shared" si="35"/>
        <v>0</v>
      </c>
      <c r="AB97" s="48">
        <f t="shared" si="33"/>
        <v>0</v>
      </c>
      <c r="AC97" s="48">
        <f t="shared" si="34"/>
        <v>0</v>
      </c>
      <c r="AD97" s="48">
        <f t="shared" si="36"/>
        <v>0</v>
      </c>
      <c r="AE97" s="73">
        <f t="shared" si="37"/>
        <v>0</v>
      </c>
      <c r="AG97" s="238"/>
      <c r="AH97" s="239"/>
    </row>
    <row r="98" spans="3:34" ht="10.5" thickBot="1">
      <c r="C98" s="81">
        <v>96</v>
      </c>
      <c r="D98" s="102" t="str">
        <f>IF(D65="Spieler 32","Verlierer 63",IF(E65="Spieler 96","Verlierer 63",IF(D65=E65,"Freilos",IF(E65="Freilos",E65,IF(D65="Freilos",D65,IF(F65&gt;G65,E65,IF(G65&gt;F65,D65,"Verlierer 63")))))))</f>
        <v>Verlierer 63</v>
      </c>
      <c r="E98" s="103" t="str">
        <f>IF(D66="Spieler 64","Verlierer 64",IF(E66="Spieler 128","Verlierer 64",IF(D66=E66,"Freilos",IF(E66="Freilos",E66,IF(D66="Freilos",D66,IF(F66&gt;G66,E66,IF(G66&gt;F66,D66,"Verlierer 64")))))))</f>
        <v>Verlierer 64</v>
      </c>
      <c r="F98" s="104"/>
      <c r="G98" s="105"/>
      <c r="H98" s="106"/>
      <c r="I98" s="106"/>
      <c r="J98" s="106"/>
      <c r="K98" s="107"/>
      <c r="L98" s="71"/>
      <c r="M98" s="95">
        <f t="shared" si="21"/>
      </c>
      <c r="N98" s="48">
        <f t="shared" si="22"/>
        <v>0</v>
      </c>
      <c r="O98" s="48">
        <f t="shared" si="23"/>
        <v>0</v>
      </c>
      <c r="P98" s="48">
        <f t="shared" si="24"/>
        <v>0</v>
      </c>
      <c r="Q98" s="48">
        <f t="shared" si="25"/>
        <v>0</v>
      </c>
      <c r="R98" s="48">
        <f t="shared" si="26"/>
        <v>0</v>
      </c>
      <c r="S98" s="48">
        <f t="shared" si="27"/>
        <v>0</v>
      </c>
      <c r="T98" s="72">
        <f t="shared" si="28"/>
        <v>0</v>
      </c>
      <c r="U98" s="72">
        <f t="shared" si="29"/>
        <v>0</v>
      </c>
      <c r="V98" s="48">
        <v>96</v>
      </c>
      <c r="W98" s="48" t="str">
        <f>IF(Spielereingabe!F104="","Spieler 96",Spielereingabe!F104)</f>
        <v>Spieler 96</v>
      </c>
      <c r="X98" s="48">
        <f t="shared" si="30"/>
        <v>0</v>
      </c>
      <c r="Y98" s="48">
        <f t="shared" si="31"/>
        <v>0</v>
      </c>
      <c r="Z98" s="48">
        <f t="shared" si="32"/>
        <v>0</v>
      </c>
      <c r="AA98" s="48">
        <f t="shared" si="35"/>
        <v>0</v>
      </c>
      <c r="AB98" s="48">
        <f t="shared" si="33"/>
        <v>0</v>
      </c>
      <c r="AC98" s="48">
        <f t="shared" si="34"/>
        <v>0</v>
      </c>
      <c r="AD98" s="48">
        <f t="shared" si="36"/>
        <v>0</v>
      </c>
      <c r="AE98" s="73">
        <f t="shared" si="37"/>
        <v>0</v>
      </c>
      <c r="AG98" s="238"/>
      <c r="AH98" s="239"/>
    </row>
    <row r="99" spans="2:34" ht="10.5" thickBot="1">
      <c r="B99" s="108" t="s">
        <v>27</v>
      </c>
      <c r="C99" s="74">
        <v>97</v>
      </c>
      <c r="D99" s="109" t="str">
        <f>IF(D3="Spieler 1","Sieger 1",IF(E3="Spieler 65","Sieger 1",IF(D3=E3,"Freilos",IF(E3="Freilos",D3,IF(D3="Freilos",E3,IF(F3&gt;G3,D3,IF(G3&gt;F3,E3,"Sieger 1")))))))</f>
        <v>Sieger 1</v>
      </c>
      <c r="E99" s="110" t="str">
        <f>IF(D4="Spieler 33","Sieger 2",IF(E4="Spieler 97","Sieger 2",IF(D4=E4,"Freilos",IF(E4="Freilos",D4,IF(D4="Freilos",E4,IF(F4&gt;G4,D4,IF(G4&gt;F4,E4,"Sieger 2")))))))</f>
        <v>Sieger 2</v>
      </c>
      <c r="F99" s="111"/>
      <c r="G99" s="112"/>
      <c r="H99" s="113"/>
      <c r="I99" s="113"/>
      <c r="J99" s="113"/>
      <c r="K99" s="114"/>
      <c r="L99" s="71"/>
      <c r="N99" s="48">
        <f t="shared" si="22"/>
        <v>0</v>
      </c>
      <c r="O99" s="48">
        <f t="shared" si="23"/>
        <v>0</v>
      </c>
      <c r="P99" s="48">
        <f t="shared" si="24"/>
        <v>0</v>
      </c>
      <c r="Q99" s="48">
        <f t="shared" si="25"/>
        <v>0</v>
      </c>
      <c r="R99" s="48">
        <f t="shared" si="26"/>
        <v>0</v>
      </c>
      <c r="S99" s="48">
        <f t="shared" si="27"/>
        <v>0</v>
      </c>
      <c r="T99" s="72">
        <f aca="true" t="shared" si="38" ref="T99:T130">IF(E99="Freilos",6,IF(F99&gt;G99,6,0))</f>
        <v>0</v>
      </c>
      <c r="U99" s="72">
        <f aca="true" t="shared" si="39" ref="U99:U130">IF(D99="Freilos",6,IF(G99&gt;F99,6,0))</f>
        <v>0</v>
      </c>
      <c r="V99" s="48">
        <v>97</v>
      </c>
      <c r="W99" s="48" t="str">
        <f>IF(Spielereingabe!F105="","Spieler 97",Spielereingabe!F105)</f>
        <v>Spieler 97</v>
      </c>
      <c r="X99" s="48">
        <f aca="true" t="shared" si="40" ref="X99:X130">IF(W99="Freilos",0,SUMIF($D$3:$E$257,W99,$T$3:$U$257))</f>
        <v>0</v>
      </c>
      <c r="Y99" s="48">
        <f aca="true" t="shared" si="41" ref="Y99:Y130">SUMIF($D$3:$E$257,W99,$P$3:$Q$257)</f>
        <v>0</v>
      </c>
      <c r="Z99" s="48">
        <f aca="true" t="shared" si="42" ref="Z99:Z130">SUMIF($D$3:$E$257,W99,$R$3:$S$257)</f>
        <v>0</v>
      </c>
      <c r="AA99" s="48">
        <f t="shared" si="35"/>
        <v>0</v>
      </c>
      <c r="AB99" s="48">
        <f aca="true" t="shared" si="43" ref="AB99:AB130">SUMIF($D$3:$E$257,W99,$N$3:$O$257)</f>
        <v>0</v>
      </c>
      <c r="AC99" s="48">
        <f aca="true" t="shared" si="44" ref="AC99:AC130">SUMIF($D$3:$E$257,W99,$F$3:$G$257)</f>
        <v>0</v>
      </c>
      <c r="AD99" s="48">
        <f t="shared" si="36"/>
        <v>0</v>
      </c>
      <c r="AE99" s="73">
        <f t="shared" si="37"/>
        <v>0</v>
      </c>
      <c r="AG99" s="238"/>
      <c r="AH99" s="239"/>
    </row>
    <row r="100" spans="3:34" ht="10.5" thickBot="1">
      <c r="C100" s="74">
        <v>98</v>
      </c>
      <c r="D100" s="115" t="str">
        <f>IF(D5="Spieler 17","Sieger 3",IF(E5="Spieler 81","Sieger 3",IF(D5=E5,"Freilos",IF(E5="Freilos",D5,IF(D5="Freilos",E5,IF(F5&gt;G5,D5,IF(G5&gt;F5,E5,"Sieger 3")))))))</f>
        <v>Sieger 3</v>
      </c>
      <c r="E100" s="116" t="str">
        <f>IF(D6="Spieler 49","Sieger 4",IF(E6="Spieler 113","Sieger 4",IF(D6=E6,"Freilos",IF(E6="Freilos",D6,IF(D6="Freilos",E6,IF(F6&gt;G6,D6,IF(G6&gt;F6,E6,"Sieger 4")))))))</f>
        <v>Sieger 4</v>
      </c>
      <c r="F100" s="117"/>
      <c r="G100" s="118"/>
      <c r="H100" s="99"/>
      <c r="I100" s="99"/>
      <c r="J100" s="99"/>
      <c r="K100" s="119"/>
      <c r="L100" s="71"/>
      <c r="N100" s="48">
        <f t="shared" si="22"/>
        <v>0</v>
      </c>
      <c r="O100" s="48">
        <f t="shared" si="23"/>
        <v>0</v>
      </c>
      <c r="P100" s="48">
        <f t="shared" si="24"/>
        <v>0</v>
      </c>
      <c r="Q100" s="48">
        <f t="shared" si="25"/>
        <v>0</v>
      </c>
      <c r="R100" s="48">
        <f t="shared" si="26"/>
        <v>0</v>
      </c>
      <c r="S100" s="48">
        <f t="shared" si="27"/>
        <v>0</v>
      </c>
      <c r="T100" s="72">
        <f t="shared" si="38"/>
        <v>0</v>
      </c>
      <c r="U100" s="72">
        <f t="shared" si="39"/>
        <v>0</v>
      </c>
      <c r="V100" s="48">
        <v>98</v>
      </c>
      <c r="W100" s="48" t="str">
        <f>IF(Spielereingabe!F106="","Spieler 98",Spielereingabe!F106)</f>
        <v>Spieler 98</v>
      </c>
      <c r="X100" s="48">
        <f t="shared" si="40"/>
        <v>0</v>
      </c>
      <c r="Y100" s="48">
        <f t="shared" si="41"/>
        <v>0</v>
      </c>
      <c r="Z100" s="48">
        <f t="shared" si="42"/>
        <v>0</v>
      </c>
      <c r="AA100" s="48">
        <f t="shared" si="35"/>
        <v>0</v>
      </c>
      <c r="AB100" s="48">
        <f t="shared" si="43"/>
        <v>0</v>
      </c>
      <c r="AC100" s="48">
        <f t="shared" si="44"/>
        <v>0</v>
      </c>
      <c r="AD100" s="48">
        <f t="shared" si="36"/>
        <v>0</v>
      </c>
      <c r="AE100" s="73">
        <f t="shared" si="37"/>
        <v>0</v>
      </c>
      <c r="AG100" s="238"/>
      <c r="AH100" s="239"/>
    </row>
    <row r="101" spans="3:34" ht="10.5" thickBot="1">
      <c r="C101" s="74">
        <v>99</v>
      </c>
      <c r="D101" s="115" t="str">
        <f>IF(D7="Spieler 9","Sieger 5",IF(E7="Spieler 73","Sieger 5",IF(D7=E7,"Freilos",IF(E7="Freilos",D7,IF(D7="Freilos",E7,IF(F7&gt;G7,D7,IF(G7&gt;F7,E7,"Sieger 5")))))))</f>
        <v>Sieger 5</v>
      </c>
      <c r="E101" s="116" t="str">
        <f>IF(D8="Spieler 41","Sieger 6",IF(E8="Spieler 105","Sieger 6",IF(D8=E8,"Freilos",IF(E8="Freilos",D8,IF(D8="Freilos",E8,IF(F8&gt;G8,D8,IF(G8&gt;F8,E8,"Sieger 6")))))))</f>
        <v>Sieger 6</v>
      </c>
      <c r="F101" s="117"/>
      <c r="G101" s="118"/>
      <c r="H101" s="99"/>
      <c r="I101" s="99"/>
      <c r="J101" s="99"/>
      <c r="K101" s="119"/>
      <c r="L101" s="71"/>
      <c r="N101" s="48">
        <f t="shared" si="22"/>
        <v>0</v>
      </c>
      <c r="O101" s="48">
        <f t="shared" si="23"/>
        <v>0</v>
      </c>
      <c r="P101" s="48">
        <f t="shared" si="24"/>
        <v>0</v>
      </c>
      <c r="Q101" s="48">
        <f t="shared" si="25"/>
        <v>0</v>
      </c>
      <c r="R101" s="48">
        <f t="shared" si="26"/>
        <v>0</v>
      </c>
      <c r="S101" s="48">
        <f t="shared" si="27"/>
        <v>0</v>
      </c>
      <c r="T101" s="72">
        <f t="shared" si="38"/>
        <v>0</v>
      </c>
      <c r="U101" s="72">
        <f t="shared" si="39"/>
        <v>0</v>
      </c>
      <c r="V101" s="48">
        <v>99</v>
      </c>
      <c r="W101" s="48" t="str">
        <f>IF(Spielereingabe!F107="","Spieler 99",Spielereingabe!F107)</f>
        <v>Spieler 99</v>
      </c>
      <c r="X101" s="48">
        <f t="shared" si="40"/>
        <v>0</v>
      </c>
      <c r="Y101" s="48">
        <f t="shared" si="41"/>
        <v>0</v>
      </c>
      <c r="Z101" s="48">
        <f t="shared" si="42"/>
        <v>0</v>
      </c>
      <c r="AA101" s="48">
        <f t="shared" si="35"/>
        <v>0</v>
      </c>
      <c r="AB101" s="48">
        <f t="shared" si="43"/>
        <v>0</v>
      </c>
      <c r="AC101" s="48">
        <f t="shared" si="44"/>
        <v>0</v>
      </c>
      <c r="AD101" s="48">
        <f t="shared" si="36"/>
        <v>0</v>
      </c>
      <c r="AE101" s="73">
        <f t="shared" si="37"/>
        <v>0</v>
      </c>
      <c r="AG101" s="238"/>
      <c r="AH101" s="239"/>
    </row>
    <row r="102" spans="3:34" ht="10.5" thickBot="1">
      <c r="C102" s="74">
        <v>100</v>
      </c>
      <c r="D102" s="115" t="str">
        <f>IF(D9="Spieler 25","Sieger 7",IF(E9="Spieler 89","Sieger 7",IF(D9=E9,"Freilos",IF(E9="Freilos",D9,IF(D9="Freilos",E9,IF(F9&gt;G9,D9,IF(G9&gt;F9,E9,"Sieger 7")))))))</f>
        <v>Sieger 7</v>
      </c>
      <c r="E102" s="116" t="str">
        <f>IF(D10="Spieler 57","Sieger 8",IF(E10="Spieler 121","Sieger 8",IF(D10=E10,"Freilos",IF(E10="Freilos",D10,IF(D10="Freilos",E10,IF(F10&gt;G10,D10,IF(G10&gt;F10,E10,"Sieger 8")))))))</f>
        <v>Sieger 8</v>
      </c>
      <c r="F102" s="117"/>
      <c r="G102" s="118"/>
      <c r="H102" s="99"/>
      <c r="I102" s="99"/>
      <c r="J102" s="99"/>
      <c r="K102" s="119"/>
      <c r="L102" s="71"/>
      <c r="N102" s="48">
        <f t="shared" si="22"/>
        <v>0</v>
      </c>
      <c r="O102" s="48">
        <f t="shared" si="23"/>
        <v>0</v>
      </c>
      <c r="P102" s="48">
        <f t="shared" si="24"/>
        <v>0</v>
      </c>
      <c r="Q102" s="48">
        <f t="shared" si="25"/>
        <v>0</v>
      </c>
      <c r="R102" s="48">
        <f t="shared" si="26"/>
        <v>0</v>
      </c>
      <c r="S102" s="48">
        <f t="shared" si="27"/>
        <v>0</v>
      </c>
      <c r="T102" s="72">
        <f t="shared" si="38"/>
        <v>0</v>
      </c>
      <c r="U102" s="72">
        <f t="shared" si="39"/>
        <v>0</v>
      </c>
      <c r="V102" s="48">
        <v>100</v>
      </c>
      <c r="W102" s="48" t="str">
        <f>IF(Spielereingabe!F108="","Spieler 100",Spielereingabe!F108)</f>
        <v>Spieler 100</v>
      </c>
      <c r="X102" s="48">
        <f t="shared" si="40"/>
        <v>0</v>
      </c>
      <c r="Y102" s="48">
        <f t="shared" si="41"/>
        <v>0</v>
      </c>
      <c r="Z102" s="48">
        <f t="shared" si="42"/>
        <v>0</v>
      </c>
      <c r="AA102" s="48">
        <f t="shared" si="35"/>
        <v>0</v>
      </c>
      <c r="AB102" s="48">
        <f t="shared" si="43"/>
        <v>0</v>
      </c>
      <c r="AC102" s="48">
        <f t="shared" si="44"/>
        <v>0</v>
      </c>
      <c r="AD102" s="48">
        <f t="shared" si="36"/>
        <v>0</v>
      </c>
      <c r="AE102" s="73">
        <f t="shared" si="37"/>
        <v>0</v>
      </c>
      <c r="AG102" s="238"/>
      <c r="AH102" s="239"/>
    </row>
    <row r="103" spans="3:34" ht="10.5" thickBot="1">
      <c r="C103" s="74">
        <v>101</v>
      </c>
      <c r="D103" s="115" t="str">
        <f>IF(D11="Spieler 5","Sieger 9",IF(E11="Spieler 69","Sieger 9",IF(D11=E11,"Freilos",IF(E11="Freilos",D11,IF(D11="Freilos",E11,IF(F11&gt;G11,D11,IF(G11&gt;F11,E11,"Sieger 9")))))))</f>
        <v>Sieger 9</v>
      </c>
      <c r="E103" s="116" t="str">
        <f>IF(D12="Spieler 37","Sieger 10",IF(E12="Spieler 101","Sieger 10",IF(D12=E12,"Freilos",IF(E12="Freilos",D12,IF(D12="Freilos",E12,IF(F12&gt;G12,D12,IF(G12&gt;F12,E12,"Sieger 10")))))))</f>
        <v>Sieger 10</v>
      </c>
      <c r="F103" s="117"/>
      <c r="G103" s="118"/>
      <c r="H103" s="99"/>
      <c r="I103" s="99"/>
      <c r="J103" s="99"/>
      <c r="K103" s="119"/>
      <c r="L103" s="71"/>
      <c r="N103" s="48">
        <f t="shared" si="22"/>
        <v>0</v>
      </c>
      <c r="O103" s="48">
        <f t="shared" si="23"/>
        <v>0</v>
      </c>
      <c r="P103" s="48">
        <f t="shared" si="24"/>
        <v>0</v>
      </c>
      <c r="Q103" s="48">
        <f t="shared" si="25"/>
        <v>0</v>
      </c>
      <c r="R103" s="48">
        <f t="shared" si="26"/>
        <v>0</v>
      </c>
      <c r="S103" s="48">
        <f t="shared" si="27"/>
        <v>0</v>
      </c>
      <c r="T103" s="72">
        <f t="shared" si="38"/>
        <v>0</v>
      </c>
      <c r="U103" s="72">
        <f t="shared" si="39"/>
        <v>0</v>
      </c>
      <c r="V103" s="48">
        <v>101</v>
      </c>
      <c r="W103" s="48" t="str">
        <f>IF(Spielereingabe!F109="","Spieler 101",Spielereingabe!F109)</f>
        <v>Spieler 101</v>
      </c>
      <c r="X103" s="48">
        <f t="shared" si="40"/>
        <v>0</v>
      </c>
      <c r="Y103" s="48">
        <f t="shared" si="41"/>
        <v>0</v>
      </c>
      <c r="Z103" s="48">
        <f t="shared" si="42"/>
        <v>0</v>
      </c>
      <c r="AA103" s="48">
        <f t="shared" si="35"/>
        <v>0</v>
      </c>
      <c r="AB103" s="48">
        <f t="shared" si="43"/>
        <v>0</v>
      </c>
      <c r="AC103" s="48">
        <f t="shared" si="44"/>
        <v>0</v>
      </c>
      <c r="AD103" s="48">
        <f t="shared" si="36"/>
        <v>0</v>
      </c>
      <c r="AE103" s="73">
        <f t="shared" si="37"/>
        <v>0</v>
      </c>
      <c r="AG103" s="238"/>
      <c r="AH103" s="239"/>
    </row>
    <row r="104" spans="3:34" ht="10.5" thickBot="1">
      <c r="C104" s="74">
        <v>102</v>
      </c>
      <c r="D104" s="115" t="str">
        <f>IF(D13="Spieler 21","Sieger 11",IF(E13="Spieler 85","Sieger 11",IF(D13=E13,"Freilos",IF(E13="Freilos",D13,IF(D13="Freilos",E13,IF(F13&gt;G13,D13,IF(G13&gt;F13,E13,"Sieger 11")))))))</f>
        <v>Sieger 11</v>
      </c>
      <c r="E104" s="116" t="str">
        <f>IF(D14="Spieler 53","Sieger 12",IF(E14="Spieler 117","Sieger 12",IF(D14=E14,"Freilos",IF(E14="Freilos",D14,IF(D14="Freilos",E14,IF(F14&gt;G14,D14,IF(G14&gt;F14,E14,"Sieger 12")))))))</f>
        <v>Sieger 12</v>
      </c>
      <c r="F104" s="117"/>
      <c r="G104" s="118"/>
      <c r="H104" s="99"/>
      <c r="I104" s="99"/>
      <c r="J104" s="99"/>
      <c r="K104" s="119"/>
      <c r="L104" s="71"/>
      <c r="N104" s="48">
        <f t="shared" si="22"/>
        <v>0</v>
      </c>
      <c r="O104" s="48">
        <f t="shared" si="23"/>
        <v>0</v>
      </c>
      <c r="P104" s="48">
        <f t="shared" si="24"/>
        <v>0</v>
      </c>
      <c r="Q104" s="48">
        <f t="shared" si="25"/>
        <v>0</v>
      </c>
      <c r="R104" s="48">
        <f t="shared" si="26"/>
        <v>0</v>
      </c>
      <c r="S104" s="48">
        <f t="shared" si="27"/>
        <v>0</v>
      </c>
      <c r="T104" s="72">
        <f t="shared" si="38"/>
        <v>0</v>
      </c>
      <c r="U104" s="72">
        <f t="shared" si="39"/>
        <v>0</v>
      </c>
      <c r="V104" s="48">
        <v>102</v>
      </c>
      <c r="W104" s="48" t="str">
        <f>IF(Spielereingabe!F110="","Spieler 102",Spielereingabe!F110)</f>
        <v>Spieler 102</v>
      </c>
      <c r="X104" s="48">
        <f t="shared" si="40"/>
        <v>0</v>
      </c>
      <c r="Y104" s="48">
        <f t="shared" si="41"/>
        <v>0</v>
      </c>
      <c r="Z104" s="48">
        <f t="shared" si="42"/>
        <v>0</v>
      </c>
      <c r="AA104" s="48">
        <f t="shared" si="35"/>
        <v>0</v>
      </c>
      <c r="AB104" s="48">
        <f t="shared" si="43"/>
        <v>0</v>
      </c>
      <c r="AC104" s="48">
        <f t="shared" si="44"/>
        <v>0</v>
      </c>
      <c r="AD104" s="48">
        <f t="shared" si="36"/>
        <v>0</v>
      </c>
      <c r="AE104" s="73">
        <f t="shared" si="37"/>
        <v>0</v>
      </c>
      <c r="AG104" s="238"/>
      <c r="AH104" s="239"/>
    </row>
    <row r="105" spans="3:34" ht="10.5" thickBot="1">
      <c r="C105" s="74">
        <v>103</v>
      </c>
      <c r="D105" s="115" t="str">
        <f>IF(D15="Spieler 13","Sieger 13",IF(E15="Spieler 77","Sieger 13",IF(D15=E15,"Freilos",IF(E15="Freilos",D15,IF(D15="Freilos",E15,IF(F15&gt;G15,D15,IF(G15&gt;F15,E15,"Sieger 13")))))))</f>
        <v>Sieger 13</v>
      </c>
      <c r="E105" s="116" t="str">
        <f>IF(D16="Spieler 45","Sieger 14",IF(E16="Spieler 109","Sieger 14",IF(D16=E16,"Freilos",IF(E16="Freilos",D16,IF(D16="Freilos",E16,IF(F16&gt;G16,D16,IF(G16&gt;F16,E16,"Sieger 14")))))))</f>
        <v>Sieger 14</v>
      </c>
      <c r="F105" s="117"/>
      <c r="G105" s="118"/>
      <c r="H105" s="99"/>
      <c r="I105" s="99"/>
      <c r="J105" s="99"/>
      <c r="K105" s="119"/>
      <c r="L105" s="71"/>
      <c r="N105" s="48">
        <f t="shared" si="22"/>
        <v>0</v>
      </c>
      <c r="O105" s="48">
        <f t="shared" si="23"/>
        <v>0</v>
      </c>
      <c r="P105" s="48">
        <f t="shared" si="24"/>
        <v>0</v>
      </c>
      <c r="Q105" s="48">
        <f t="shared" si="25"/>
        <v>0</v>
      </c>
      <c r="R105" s="48">
        <f t="shared" si="26"/>
        <v>0</v>
      </c>
      <c r="S105" s="48">
        <f t="shared" si="27"/>
        <v>0</v>
      </c>
      <c r="T105" s="72">
        <f t="shared" si="38"/>
        <v>0</v>
      </c>
      <c r="U105" s="72">
        <f t="shared" si="39"/>
        <v>0</v>
      </c>
      <c r="V105" s="48">
        <v>103</v>
      </c>
      <c r="W105" s="48" t="str">
        <f>IF(Spielereingabe!F111="","Spieler 103",Spielereingabe!F111)</f>
        <v>Spieler 103</v>
      </c>
      <c r="X105" s="48">
        <f t="shared" si="40"/>
        <v>0</v>
      </c>
      <c r="Y105" s="48">
        <f t="shared" si="41"/>
        <v>0</v>
      </c>
      <c r="Z105" s="48">
        <f t="shared" si="42"/>
        <v>0</v>
      </c>
      <c r="AA105" s="48">
        <f t="shared" si="35"/>
        <v>0</v>
      </c>
      <c r="AB105" s="48">
        <f t="shared" si="43"/>
        <v>0</v>
      </c>
      <c r="AC105" s="48">
        <f t="shared" si="44"/>
        <v>0</v>
      </c>
      <c r="AD105" s="48">
        <f t="shared" si="36"/>
        <v>0</v>
      </c>
      <c r="AE105" s="73">
        <f t="shared" si="37"/>
        <v>0</v>
      </c>
      <c r="AG105" s="238"/>
      <c r="AH105" s="239"/>
    </row>
    <row r="106" spans="3:34" ht="10.5" thickBot="1">
      <c r="C106" s="74">
        <v>104</v>
      </c>
      <c r="D106" s="115" t="str">
        <f>IF(D17="Spieler 29","Sieger 15",IF(E17="Spieler 93","Sieger 15",IF(D17=E17,"Freilos",IF(E17="Freilos",D17,IF(D17="Freilos",E17,IF(F17&gt;G17,D17,IF(G17&gt;F17,E17,"Sieger 15")))))))</f>
        <v>Sieger 15</v>
      </c>
      <c r="E106" s="116" t="str">
        <f>IF(D18="Spieler 61","Sieger 16",IF(E18="Spieler 125","Sieger 16",IF(D18=E18,"Freilos",IF(E18="Freilos",D18,IF(D18="Freilos",E18,IF(F18&gt;G18,D18,IF(G18&gt;F18,E18,"Sieger 16")))))))</f>
        <v>Sieger 16</v>
      </c>
      <c r="F106" s="117"/>
      <c r="G106" s="118"/>
      <c r="H106" s="99"/>
      <c r="I106" s="99"/>
      <c r="J106" s="99"/>
      <c r="K106" s="119"/>
      <c r="L106" s="71"/>
      <c r="N106" s="48">
        <f t="shared" si="22"/>
        <v>0</v>
      </c>
      <c r="O106" s="48">
        <f t="shared" si="23"/>
        <v>0</v>
      </c>
      <c r="P106" s="48">
        <f t="shared" si="24"/>
        <v>0</v>
      </c>
      <c r="Q106" s="48">
        <f t="shared" si="25"/>
        <v>0</v>
      </c>
      <c r="R106" s="48">
        <f t="shared" si="26"/>
        <v>0</v>
      </c>
      <c r="S106" s="48">
        <f t="shared" si="27"/>
        <v>0</v>
      </c>
      <c r="T106" s="72">
        <f t="shared" si="38"/>
        <v>0</v>
      </c>
      <c r="U106" s="72">
        <f t="shared" si="39"/>
        <v>0</v>
      </c>
      <c r="V106" s="48">
        <v>104</v>
      </c>
      <c r="W106" s="48" t="str">
        <f>IF(Spielereingabe!F112="","Spieler 104",Spielereingabe!F112)</f>
        <v>Spieler 104</v>
      </c>
      <c r="X106" s="48">
        <f t="shared" si="40"/>
        <v>0</v>
      </c>
      <c r="Y106" s="48">
        <f t="shared" si="41"/>
        <v>0</v>
      </c>
      <c r="Z106" s="48">
        <f t="shared" si="42"/>
        <v>0</v>
      </c>
      <c r="AA106" s="48">
        <f t="shared" si="35"/>
        <v>0</v>
      </c>
      <c r="AB106" s="48">
        <f t="shared" si="43"/>
        <v>0</v>
      </c>
      <c r="AC106" s="48">
        <f t="shared" si="44"/>
        <v>0</v>
      </c>
      <c r="AD106" s="48">
        <f t="shared" si="36"/>
        <v>0</v>
      </c>
      <c r="AE106" s="73">
        <f t="shared" si="37"/>
        <v>0</v>
      </c>
      <c r="AG106" s="238"/>
      <c r="AH106" s="239"/>
    </row>
    <row r="107" spans="3:34" ht="10.5" thickBot="1">
      <c r="C107" s="74">
        <v>105</v>
      </c>
      <c r="D107" s="115" t="str">
        <f>IF(D19="Spieler 3","Sieger 17",IF(E19="Spieler 67","Sieger 17",IF(D19=E19,"Freilos",IF(E19="Freilos",D19,IF(D19="Freilos",E19,IF(F19&gt;G19,D19,IF(G19&gt;F19,E19,"Sieger 17")))))))</f>
        <v>Sieger 17</v>
      </c>
      <c r="E107" s="116" t="str">
        <f>IF(D20="Spieler 35","Sieger 18",IF(E20="Spieler 99","Sieger 18",IF(D20=E20,"Freilos",IF(E20="Freilos",D20,IF(D20="Freilos",E20,IF(F20&gt;G20,D20,IF(G20&gt;F20,E20,"Sieger 18")))))))</f>
        <v>Sieger 18</v>
      </c>
      <c r="F107" s="117"/>
      <c r="G107" s="118"/>
      <c r="H107" s="99"/>
      <c r="I107" s="99"/>
      <c r="J107" s="99"/>
      <c r="K107" s="119"/>
      <c r="L107" s="71"/>
      <c r="N107" s="48">
        <f t="shared" si="22"/>
        <v>0</v>
      </c>
      <c r="O107" s="48">
        <f t="shared" si="23"/>
        <v>0</v>
      </c>
      <c r="P107" s="48">
        <f t="shared" si="24"/>
        <v>0</v>
      </c>
      <c r="Q107" s="48">
        <f t="shared" si="25"/>
        <v>0</v>
      </c>
      <c r="R107" s="48">
        <f t="shared" si="26"/>
        <v>0</v>
      </c>
      <c r="S107" s="48">
        <f t="shared" si="27"/>
        <v>0</v>
      </c>
      <c r="T107" s="72">
        <f t="shared" si="38"/>
        <v>0</v>
      </c>
      <c r="U107" s="72">
        <f t="shared" si="39"/>
        <v>0</v>
      </c>
      <c r="V107" s="48">
        <v>105</v>
      </c>
      <c r="W107" s="48" t="str">
        <f>IF(Spielereingabe!F113="","Spieler 105",Spielereingabe!F113)</f>
        <v>Spieler 105</v>
      </c>
      <c r="X107" s="48">
        <f t="shared" si="40"/>
        <v>0</v>
      </c>
      <c r="Y107" s="48">
        <f t="shared" si="41"/>
        <v>0</v>
      </c>
      <c r="Z107" s="48">
        <f t="shared" si="42"/>
        <v>0</v>
      </c>
      <c r="AA107" s="48">
        <f t="shared" si="35"/>
        <v>0</v>
      </c>
      <c r="AB107" s="48">
        <f t="shared" si="43"/>
        <v>0</v>
      </c>
      <c r="AC107" s="48">
        <f t="shared" si="44"/>
        <v>0</v>
      </c>
      <c r="AD107" s="48">
        <f t="shared" si="36"/>
        <v>0</v>
      </c>
      <c r="AE107" s="73">
        <f t="shared" si="37"/>
        <v>0</v>
      </c>
      <c r="AG107" s="238"/>
      <c r="AH107" s="239"/>
    </row>
    <row r="108" spans="3:34" ht="10.5" thickBot="1">
      <c r="C108" s="74">
        <v>106</v>
      </c>
      <c r="D108" s="115" t="str">
        <f>IF(D21="Spieler 19","Sieger 19",IF(E21="Spieler 83","Sieger 19",IF(D21=E21,"Freilos",IF(E21="Freilos",D21,IF(D21="Freilos",E21,IF(F21&gt;G21,D21,IF(G21&gt;F21,E21,"Sieger 19")))))))</f>
        <v>Sieger 19</v>
      </c>
      <c r="E108" s="116" t="str">
        <f>IF(D22="Spieler 51","Sieger 20",IF(E22="Spieler 115","Sieger 20",IF(D22=E22,"Freilos",IF(E22="Freilos",D22,IF(D22="Freilos",E22,IF(F22&gt;G22,D22,IF(G22&gt;F22,E22,"Sieger 20")))))))</f>
        <v>Sieger 20</v>
      </c>
      <c r="F108" s="117"/>
      <c r="G108" s="118"/>
      <c r="H108" s="99"/>
      <c r="I108" s="99"/>
      <c r="J108" s="99"/>
      <c r="K108" s="119"/>
      <c r="L108" s="71"/>
      <c r="N108" s="48">
        <f t="shared" si="22"/>
        <v>0</v>
      </c>
      <c r="O108" s="48">
        <f t="shared" si="23"/>
        <v>0</v>
      </c>
      <c r="P108" s="48">
        <f t="shared" si="24"/>
        <v>0</v>
      </c>
      <c r="Q108" s="48">
        <f t="shared" si="25"/>
        <v>0</v>
      </c>
      <c r="R108" s="48">
        <f t="shared" si="26"/>
        <v>0</v>
      </c>
      <c r="S108" s="48">
        <f t="shared" si="27"/>
        <v>0</v>
      </c>
      <c r="T108" s="72">
        <f t="shared" si="38"/>
        <v>0</v>
      </c>
      <c r="U108" s="72">
        <f t="shared" si="39"/>
        <v>0</v>
      </c>
      <c r="V108" s="48">
        <v>106</v>
      </c>
      <c r="W108" s="48" t="str">
        <f>IF(Spielereingabe!F114="","Spieler 106",Spielereingabe!F114)</f>
        <v>Spieler 106</v>
      </c>
      <c r="X108" s="48">
        <f t="shared" si="40"/>
        <v>0</v>
      </c>
      <c r="Y108" s="48">
        <f t="shared" si="41"/>
        <v>0</v>
      </c>
      <c r="Z108" s="48">
        <f t="shared" si="42"/>
        <v>0</v>
      </c>
      <c r="AA108" s="48">
        <f t="shared" si="35"/>
        <v>0</v>
      </c>
      <c r="AB108" s="48">
        <f t="shared" si="43"/>
        <v>0</v>
      </c>
      <c r="AC108" s="48">
        <f t="shared" si="44"/>
        <v>0</v>
      </c>
      <c r="AD108" s="48">
        <f t="shared" si="36"/>
        <v>0</v>
      </c>
      <c r="AE108" s="73">
        <f t="shared" si="37"/>
        <v>0</v>
      </c>
      <c r="AG108" s="238"/>
      <c r="AH108" s="239"/>
    </row>
    <row r="109" spans="3:34" ht="10.5" thickBot="1">
      <c r="C109" s="74">
        <v>107</v>
      </c>
      <c r="D109" s="115" t="str">
        <f>IF(D23="Spieler 11","Sieger 21",IF(E23="Spieler 75","Sieger 11",IF(D23=E23,"Freilos",IF(E23="Freilos",D23,IF(D23="Freilos",E23,IF(F23&gt;G23,D23,IF(G23&gt;F23,E23,"Sieger 11")))))))</f>
        <v>Sieger 21</v>
      </c>
      <c r="E109" s="116" t="str">
        <f>IF(D24="Spieler 43","Sieger 22",IF(E24="Spieler 107","Sieger 22",IF(D24=E24,"Freilos",IF(E24="Freilos",D24,IF(D24="Freilos",E24,IF(F24&gt;G24,D24,IF(G24&gt;F24,E24,"Sieger 22")))))))</f>
        <v>Sieger 22</v>
      </c>
      <c r="F109" s="117"/>
      <c r="G109" s="118"/>
      <c r="H109" s="99"/>
      <c r="I109" s="99"/>
      <c r="J109" s="99"/>
      <c r="K109" s="119"/>
      <c r="L109" s="71"/>
      <c r="N109" s="48">
        <f t="shared" si="22"/>
        <v>0</v>
      </c>
      <c r="O109" s="48">
        <f t="shared" si="23"/>
        <v>0</v>
      </c>
      <c r="P109" s="48">
        <f t="shared" si="24"/>
        <v>0</v>
      </c>
      <c r="Q109" s="48">
        <f t="shared" si="25"/>
        <v>0</v>
      </c>
      <c r="R109" s="48">
        <f t="shared" si="26"/>
        <v>0</v>
      </c>
      <c r="S109" s="48">
        <f t="shared" si="27"/>
        <v>0</v>
      </c>
      <c r="T109" s="72">
        <f t="shared" si="38"/>
        <v>0</v>
      </c>
      <c r="U109" s="72">
        <f t="shared" si="39"/>
        <v>0</v>
      </c>
      <c r="V109" s="48">
        <v>107</v>
      </c>
      <c r="W109" s="48" t="str">
        <f>IF(Spielereingabe!F115="","Spieler 107",Spielereingabe!F115)</f>
        <v>Spieler 107</v>
      </c>
      <c r="X109" s="48">
        <f t="shared" si="40"/>
        <v>0</v>
      </c>
      <c r="Y109" s="48">
        <f t="shared" si="41"/>
        <v>0</v>
      </c>
      <c r="Z109" s="48">
        <f t="shared" si="42"/>
        <v>0</v>
      </c>
      <c r="AA109" s="48">
        <f t="shared" si="35"/>
        <v>0</v>
      </c>
      <c r="AB109" s="48">
        <f t="shared" si="43"/>
        <v>0</v>
      </c>
      <c r="AC109" s="48">
        <f t="shared" si="44"/>
        <v>0</v>
      </c>
      <c r="AD109" s="48">
        <f t="shared" si="36"/>
        <v>0</v>
      </c>
      <c r="AE109" s="73">
        <f t="shared" si="37"/>
        <v>0</v>
      </c>
      <c r="AG109" s="238"/>
      <c r="AH109" s="239"/>
    </row>
    <row r="110" spans="3:34" ht="10.5" thickBot="1">
      <c r="C110" s="74">
        <v>108</v>
      </c>
      <c r="D110" s="115" t="str">
        <f>IF(D25="Spieler 27","Sieger 23",IF(E25="Spieler 93","Sieger 23",IF(D25=E25,"Freilos",IF(E25="Freilos",D25,IF(D25="Freilos",E25,IF(F25&gt;G25,D25,IF(G25&gt;F25,E25,"Sieger 23")))))))</f>
        <v>Sieger 23</v>
      </c>
      <c r="E110" s="116" t="str">
        <f>IF(D26="Spieler 59","Sieger 24",IF(E26="Spieler 123","Sieger 24",IF(D26=E26,"Freilos",IF(E26="Freilos",D26,IF(D26="Freilos",E26,IF(F26&gt;G26,D26,IF(G26&gt;F26,E26,"Sieger 24")))))))</f>
        <v>Sieger 24</v>
      </c>
      <c r="F110" s="117"/>
      <c r="G110" s="118"/>
      <c r="H110" s="99"/>
      <c r="I110" s="99"/>
      <c r="J110" s="99"/>
      <c r="K110" s="119"/>
      <c r="L110" s="71"/>
      <c r="N110" s="48">
        <f t="shared" si="22"/>
        <v>0</v>
      </c>
      <c r="O110" s="48">
        <f t="shared" si="23"/>
        <v>0</v>
      </c>
      <c r="P110" s="48">
        <f t="shared" si="24"/>
        <v>0</v>
      </c>
      <c r="Q110" s="48">
        <f t="shared" si="25"/>
        <v>0</v>
      </c>
      <c r="R110" s="48">
        <f t="shared" si="26"/>
        <v>0</v>
      </c>
      <c r="S110" s="48">
        <f t="shared" si="27"/>
        <v>0</v>
      </c>
      <c r="T110" s="72">
        <f t="shared" si="38"/>
        <v>0</v>
      </c>
      <c r="U110" s="72">
        <f t="shared" si="39"/>
        <v>0</v>
      </c>
      <c r="V110" s="48">
        <v>108</v>
      </c>
      <c r="W110" s="48" t="str">
        <f>IF(Spielereingabe!F116="","Spieler 108",Spielereingabe!F116)</f>
        <v>Spieler 108</v>
      </c>
      <c r="X110" s="48">
        <f t="shared" si="40"/>
        <v>0</v>
      </c>
      <c r="Y110" s="48">
        <f t="shared" si="41"/>
        <v>0</v>
      </c>
      <c r="Z110" s="48">
        <f t="shared" si="42"/>
        <v>0</v>
      </c>
      <c r="AA110" s="48">
        <f t="shared" si="35"/>
        <v>0</v>
      </c>
      <c r="AB110" s="48">
        <f t="shared" si="43"/>
        <v>0</v>
      </c>
      <c r="AC110" s="48">
        <f t="shared" si="44"/>
        <v>0</v>
      </c>
      <c r="AD110" s="48">
        <f t="shared" si="36"/>
        <v>0</v>
      </c>
      <c r="AE110" s="73">
        <f t="shared" si="37"/>
        <v>0</v>
      </c>
      <c r="AG110" s="238"/>
      <c r="AH110" s="239"/>
    </row>
    <row r="111" spans="3:34" ht="10.5" thickBot="1">
      <c r="C111" s="74">
        <v>109</v>
      </c>
      <c r="D111" s="115" t="str">
        <f>IF(D27="Spieler 7","Sieger 25",IF(E27="Spieler 71","Sieger 25",IF(D27=E27,"Freilos",IF(E27="Freilos",D27,IF(D27="Freilos",E27,IF(F27&gt;G27,D27,IF(G27&gt;F27,E27,"Sieger 25")))))))</f>
        <v>Sieger 25</v>
      </c>
      <c r="E111" s="116" t="str">
        <f>IF(D28="Spieler 39","Sieger 26",IF(E28="Spieler 103","Sieger 26",IF(D28=E28,"Freilos",IF(E28="Freilos",D28,IF(D28="Freilos",E28,IF(F28&gt;G28,D28,IF(G28&gt;F28,E28,"Sieger 26")))))))</f>
        <v>Sieger 26</v>
      </c>
      <c r="F111" s="117"/>
      <c r="G111" s="118"/>
      <c r="H111" s="99"/>
      <c r="I111" s="99"/>
      <c r="J111" s="99"/>
      <c r="K111" s="119"/>
      <c r="L111" s="71"/>
      <c r="N111" s="48">
        <f t="shared" si="22"/>
        <v>0</v>
      </c>
      <c r="O111" s="48">
        <f t="shared" si="23"/>
        <v>0</v>
      </c>
      <c r="P111" s="48">
        <f t="shared" si="24"/>
        <v>0</v>
      </c>
      <c r="Q111" s="48">
        <f t="shared" si="25"/>
        <v>0</v>
      </c>
      <c r="R111" s="48">
        <f t="shared" si="26"/>
        <v>0</v>
      </c>
      <c r="S111" s="48">
        <f t="shared" si="27"/>
        <v>0</v>
      </c>
      <c r="T111" s="72">
        <f t="shared" si="38"/>
        <v>0</v>
      </c>
      <c r="U111" s="72">
        <f t="shared" si="39"/>
        <v>0</v>
      </c>
      <c r="V111" s="48">
        <v>109</v>
      </c>
      <c r="W111" s="48" t="str">
        <f>IF(Spielereingabe!F117="","Spieler 109",Spielereingabe!F117)</f>
        <v>Spieler 109</v>
      </c>
      <c r="X111" s="48">
        <f t="shared" si="40"/>
        <v>0</v>
      </c>
      <c r="Y111" s="48">
        <f t="shared" si="41"/>
        <v>0</v>
      </c>
      <c r="Z111" s="48">
        <f t="shared" si="42"/>
        <v>0</v>
      </c>
      <c r="AA111" s="48">
        <f t="shared" si="35"/>
        <v>0</v>
      </c>
      <c r="AB111" s="48">
        <f t="shared" si="43"/>
        <v>0</v>
      </c>
      <c r="AC111" s="48">
        <f t="shared" si="44"/>
        <v>0</v>
      </c>
      <c r="AD111" s="48">
        <f t="shared" si="36"/>
        <v>0</v>
      </c>
      <c r="AE111" s="73">
        <f t="shared" si="37"/>
        <v>0</v>
      </c>
      <c r="AG111" s="238"/>
      <c r="AH111" s="239"/>
    </row>
    <row r="112" spans="3:34" ht="10.5" thickBot="1">
      <c r="C112" s="74">
        <v>110</v>
      </c>
      <c r="D112" s="115" t="str">
        <f>IF(D29="Spieler 23","Sieger 27",IF(E29="Spieler 87","Sieger 27",IF(D29=E29,"Freilos",IF(E29="Freilos",D29,IF(D29="Freilos",E29,IF(F29&gt;G29,D29,IF(G29&gt;F29,E29,"Sieger 27")))))))</f>
        <v>Sieger 27</v>
      </c>
      <c r="E112" s="116" t="str">
        <f>IF(D30="Spieler 55","Sieger 28",IF(E30="Spieler 119","Sieger 28",IF(D30=E30,"Freilos",IF(E30="Freilos",D30,IF(D30="Freilos",E30,IF(F30&gt;G30,D30,IF(G30&gt;F30,E30,"Sieger 28")))))))</f>
        <v>Sieger 28</v>
      </c>
      <c r="F112" s="117"/>
      <c r="G112" s="118"/>
      <c r="H112" s="99"/>
      <c r="I112" s="99"/>
      <c r="J112" s="99"/>
      <c r="K112" s="119"/>
      <c r="L112" s="71"/>
      <c r="N112" s="48">
        <f t="shared" si="22"/>
        <v>0</v>
      </c>
      <c r="O112" s="48">
        <f t="shared" si="23"/>
        <v>0</v>
      </c>
      <c r="P112" s="48">
        <f t="shared" si="24"/>
        <v>0</v>
      </c>
      <c r="Q112" s="48">
        <f t="shared" si="25"/>
        <v>0</v>
      </c>
      <c r="R112" s="48">
        <f t="shared" si="26"/>
        <v>0</v>
      </c>
      <c r="S112" s="48">
        <f t="shared" si="27"/>
        <v>0</v>
      </c>
      <c r="T112" s="72">
        <f t="shared" si="38"/>
        <v>0</v>
      </c>
      <c r="U112" s="72">
        <f t="shared" si="39"/>
        <v>0</v>
      </c>
      <c r="V112" s="48">
        <v>110</v>
      </c>
      <c r="W112" s="48" t="str">
        <f>IF(Spielereingabe!F118="","Spieler 110",Spielereingabe!F118)</f>
        <v>Spieler 110</v>
      </c>
      <c r="X112" s="48">
        <f t="shared" si="40"/>
        <v>0</v>
      </c>
      <c r="Y112" s="48">
        <f t="shared" si="41"/>
        <v>0</v>
      </c>
      <c r="Z112" s="48">
        <f t="shared" si="42"/>
        <v>0</v>
      </c>
      <c r="AA112" s="48">
        <f t="shared" si="35"/>
        <v>0</v>
      </c>
      <c r="AB112" s="48">
        <f t="shared" si="43"/>
        <v>0</v>
      </c>
      <c r="AC112" s="48">
        <f t="shared" si="44"/>
        <v>0</v>
      </c>
      <c r="AD112" s="48">
        <f t="shared" si="36"/>
        <v>0</v>
      </c>
      <c r="AE112" s="73">
        <f t="shared" si="37"/>
        <v>0</v>
      </c>
      <c r="AG112" s="238"/>
      <c r="AH112" s="239"/>
    </row>
    <row r="113" spans="3:34" ht="10.5" thickBot="1">
      <c r="C113" s="74">
        <v>111</v>
      </c>
      <c r="D113" s="115" t="str">
        <f>IF(D31="Spieler 15","Sieger 29",IF(E31="Spieler 79","Sieger 29",IF(D31=E31,"Freilos",IF(E31="Freilos",D31,IF(D31="Freilos",E31,IF(F31&gt;G31,D31,IF(G31&gt;F31,E31,"Sieger 29")))))))</f>
        <v>Sieger 29</v>
      </c>
      <c r="E113" s="116" t="str">
        <f>IF(D32="Spieler 47","Sieger 30",IF(E32="Spieler 111","Sieger 30",IF(D32=E32,"Freilos",IF(E32="Freilos",D32,IF(D32="Freilos",E32,IF(F32&gt;G32,D32,IF(G32&gt;F32,E32,"Sieger 30")))))))</f>
        <v>Sieger 30</v>
      </c>
      <c r="F113" s="117"/>
      <c r="G113" s="118"/>
      <c r="H113" s="99"/>
      <c r="I113" s="99"/>
      <c r="J113" s="99"/>
      <c r="K113" s="119"/>
      <c r="L113" s="71"/>
      <c r="N113" s="48">
        <f t="shared" si="22"/>
        <v>0</v>
      </c>
      <c r="O113" s="48">
        <f t="shared" si="23"/>
        <v>0</v>
      </c>
      <c r="P113" s="48">
        <f t="shared" si="24"/>
        <v>0</v>
      </c>
      <c r="Q113" s="48">
        <f t="shared" si="25"/>
        <v>0</v>
      </c>
      <c r="R113" s="48">
        <f t="shared" si="26"/>
        <v>0</v>
      </c>
      <c r="S113" s="48">
        <f t="shared" si="27"/>
        <v>0</v>
      </c>
      <c r="T113" s="72">
        <f t="shared" si="38"/>
        <v>0</v>
      </c>
      <c r="U113" s="72">
        <f t="shared" si="39"/>
        <v>0</v>
      </c>
      <c r="V113" s="48">
        <v>111</v>
      </c>
      <c r="W113" s="48" t="str">
        <f>IF(Spielereingabe!F119="","Spieler 111",Spielereingabe!F119)</f>
        <v>Spieler 111</v>
      </c>
      <c r="X113" s="48">
        <f t="shared" si="40"/>
        <v>0</v>
      </c>
      <c r="Y113" s="48">
        <f t="shared" si="41"/>
        <v>0</v>
      </c>
      <c r="Z113" s="48">
        <f t="shared" si="42"/>
        <v>0</v>
      </c>
      <c r="AA113" s="48">
        <f t="shared" si="35"/>
        <v>0</v>
      </c>
      <c r="AB113" s="48">
        <f t="shared" si="43"/>
        <v>0</v>
      </c>
      <c r="AC113" s="48">
        <f t="shared" si="44"/>
        <v>0</v>
      </c>
      <c r="AD113" s="48">
        <f t="shared" si="36"/>
        <v>0</v>
      </c>
      <c r="AE113" s="73">
        <f t="shared" si="37"/>
        <v>0</v>
      </c>
      <c r="AG113" s="238"/>
      <c r="AH113" s="239"/>
    </row>
    <row r="114" spans="3:34" ht="10.5" thickBot="1">
      <c r="C114" s="74">
        <v>112</v>
      </c>
      <c r="D114" s="115" t="str">
        <f>IF(D33="Spieler 31","Sieger 31",IF(E33="Spieler 95","Sieger 31",IF(D33=E33,"Freilos",IF(E33="Freilos",D33,IF(D33="Freilos",E33,IF(F33&gt;G33,D33,IF(G33&gt;F33,E33,"Sieger 31")))))))</f>
        <v>Sieger 31</v>
      </c>
      <c r="E114" s="116" t="str">
        <f>IF(D34="Spieler 63","Sieger 32",IF(E34="Spieler 127","Sieger 32",IF(D34=E34,"Freilos",IF(E34="Freilos",D34,IF(D34="Freilos",E34,IF(F34&gt;G34,D34,IF(G34&gt;F34,E34,"Sieger 32")))))))</f>
        <v>Sieger 32</v>
      </c>
      <c r="F114" s="117"/>
      <c r="G114" s="118"/>
      <c r="H114" s="99"/>
      <c r="I114" s="99"/>
      <c r="J114" s="99"/>
      <c r="K114" s="119"/>
      <c r="L114" s="71"/>
      <c r="N114" s="48">
        <f t="shared" si="22"/>
        <v>0</v>
      </c>
      <c r="O114" s="48">
        <f t="shared" si="23"/>
        <v>0</v>
      </c>
      <c r="P114" s="48">
        <f t="shared" si="24"/>
        <v>0</v>
      </c>
      <c r="Q114" s="48">
        <f t="shared" si="25"/>
        <v>0</v>
      </c>
      <c r="R114" s="48">
        <f t="shared" si="26"/>
        <v>0</v>
      </c>
      <c r="S114" s="48">
        <f t="shared" si="27"/>
        <v>0</v>
      </c>
      <c r="T114" s="72">
        <f t="shared" si="38"/>
        <v>0</v>
      </c>
      <c r="U114" s="72">
        <f t="shared" si="39"/>
        <v>0</v>
      </c>
      <c r="V114" s="48">
        <v>112</v>
      </c>
      <c r="W114" s="48" t="str">
        <f>IF(Spielereingabe!F120="","Spieler 112",Spielereingabe!F120)</f>
        <v>Spieler 112</v>
      </c>
      <c r="X114" s="48">
        <f t="shared" si="40"/>
        <v>0</v>
      </c>
      <c r="Y114" s="48">
        <f t="shared" si="41"/>
        <v>0</v>
      </c>
      <c r="Z114" s="48">
        <f t="shared" si="42"/>
        <v>0</v>
      </c>
      <c r="AA114" s="48">
        <f t="shared" si="35"/>
        <v>0</v>
      </c>
      <c r="AB114" s="48">
        <f t="shared" si="43"/>
        <v>0</v>
      </c>
      <c r="AC114" s="48">
        <f t="shared" si="44"/>
        <v>0</v>
      </c>
      <c r="AD114" s="48">
        <f t="shared" si="36"/>
        <v>0</v>
      </c>
      <c r="AE114" s="73">
        <f t="shared" si="37"/>
        <v>0</v>
      </c>
      <c r="AG114" s="238"/>
      <c r="AH114" s="239"/>
    </row>
    <row r="115" spans="3:34" ht="10.5" thickBot="1">
      <c r="C115" s="74">
        <v>113</v>
      </c>
      <c r="D115" s="115" t="str">
        <f>IF(D35="Spieler 2","Sieger 33",IF(E35="Spieler 66","Sieger 33",IF(D35=E35,"Freilos",IF(E35="Freilos",D35,IF(D35="Freilos",E35,IF(F35&gt;G35,D35,IF(G35&gt;F35,E35,"Sieger 33")))))))</f>
        <v>Sieger 33</v>
      </c>
      <c r="E115" s="116" t="str">
        <f>IF(D36="Spieler 34","Sieger 34",IF(E36="Spieler 98","Sieger 34",IF(D36=E36,"Freilos",IF(E36="Freilos",D36,IF(D36="Freilos",E36,IF(F36&gt;G36,D36,IF(G36&gt;F36,E36,"Sieger 34")))))))</f>
        <v>Sieger 34</v>
      </c>
      <c r="F115" s="117"/>
      <c r="G115" s="118"/>
      <c r="H115" s="99"/>
      <c r="I115" s="99"/>
      <c r="J115" s="99"/>
      <c r="K115" s="119"/>
      <c r="L115" s="71"/>
      <c r="N115" s="48">
        <f t="shared" si="22"/>
        <v>0</v>
      </c>
      <c r="O115" s="48">
        <f t="shared" si="23"/>
        <v>0</v>
      </c>
      <c r="P115" s="48">
        <f t="shared" si="24"/>
        <v>0</v>
      </c>
      <c r="Q115" s="48">
        <f t="shared" si="25"/>
        <v>0</v>
      </c>
      <c r="R115" s="48">
        <f t="shared" si="26"/>
        <v>0</v>
      </c>
      <c r="S115" s="48">
        <f t="shared" si="27"/>
        <v>0</v>
      </c>
      <c r="T115" s="72">
        <f t="shared" si="38"/>
        <v>0</v>
      </c>
      <c r="U115" s="72">
        <f t="shared" si="39"/>
        <v>0</v>
      </c>
      <c r="V115" s="48">
        <v>113</v>
      </c>
      <c r="W115" s="48" t="str">
        <f>IF(Spielereingabe!F121="","Spieler 113",Spielereingabe!F121)</f>
        <v>Spieler 113</v>
      </c>
      <c r="X115" s="48">
        <f t="shared" si="40"/>
        <v>0</v>
      </c>
      <c r="Y115" s="48">
        <f t="shared" si="41"/>
        <v>0</v>
      </c>
      <c r="Z115" s="48">
        <f t="shared" si="42"/>
        <v>0</v>
      </c>
      <c r="AA115" s="48">
        <f t="shared" si="35"/>
        <v>0</v>
      </c>
      <c r="AB115" s="48">
        <f t="shared" si="43"/>
        <v>0</v>
      </c>
      <c r="AC115" s="48">
        <f t="shared" si="44"/>
        <v>0</v>
      </c>
      <c r="AD115" s="48">
        <f t="shared" si="36"/>
        <v>0</v>
      </c>
      <c r="AE115" s="73">
        <f t="shared" si="37"/>
        <v>0</v>
      </c>
      <c r="AG115" s="238"/>
      <c r="AH115" s="239"/>
    </row>
    <row r="116" spans="3:34" ht="10.5" thickBot="1">
      <c r="C116" s="74">
        <v>114</v>
      </c>
      <c r="D116" s="115" t="str">
        <f>IF(D37="Spieler 18","Sieger 35",IF(E37="Spieler 82","Sieger 35",IF(D37=E37,"Freilos",IF(E37="Freilos",D37,IF(D37="Freilos",E37,IF(F37&gt;G37,D37,IF(G37&gt;F37,E37,"Sieger 35")))))))</f>
        <v>Sieger 35</v>
      </c>
      <c r="E116" s="116" t="str">
        <f>IF(D38="Spieler 50","Sieger 36",IF(E38="Spieler 114","Sieger 36",IF(D38=E38,"Freilos",IF(E38="Freilos",D38,IF(D38="Freilos",E38,IF(F38&gt;G38,D38,IF(G38&gt;F38,E38,"Sieger 36")))))))</f>
        <v>Sieger 36</v>
      </c>
      <c r="F116" s="117"/>
      <c r="G116" s="118"/>
      <c r="H116" s="99"/>
      <c r="I116" s="99"/>
      <c r="J116" s="99"/>
      <c r="K116" s="119"/>
      <c r="L116" s="71"/>
      <c r="N116" s="48">
        <f t="shared" si="22"/>
        <v>0</v>
      </c>
      <c r="O116" s="48">
        <f t="shared" si="23"/>
        <v>0</v>
      </c>
      <c r="P116" s="48">
        <f t="shared" si="24"/>
        <v>0</v>
      </c>
      <c r="Q116" s="48">
        <f t="shared" si="25"/>
        <v>0</v>
      </c>
      <c r="R116" s="48">
        <f t="shared" si="26"/>
        <v>0</v>
      </c>
      <c r="S116" s="48">
        <f t="shared" si="27"/>
        <v>0</v>
      </c>
      <c r="T116" s="72">
        <f t="shared" si="38"/>
        <v>0</v>
      </c>
      <c r="U116" s="72">
        <f t="shared" si="39"/>
        <v>0</v>
      </c>
      <c r="V116" s="48">
        <v>114</v>
      </c>
      <c r="W116" s="48" t="str">
        <f>IF(Spielereingabe!F122="","Spieler 114",Spielereingabe!F122)</f>
        <v>Spieler 114</v>
      </c>
      <c r="X116" s="48">
        <f t="shared" si="40"/>
        <v>0</v>
      </c>
      <c r="Y116" s="48">
        <f t="shared" si="41"/>
        <v>0</v>
      </c>
      <c r="Z116" s="48">
        <f t="shared" si="42"/>
        <v>0</v>
      </c>
      <c r="AA116" s="48">
        <f t="shared" si="35"/>
        <v>0</v>
      </c>
      <c r="AB116" s="48">
        <f t="shared" si="43"/>
        <v>0</v>
      </c>
      <c r="AC116" s="48">
        <f t="shared" si="44"/>
        <v>0</v>
      </c>
      <c r="AD116" s="48">
        <f t="shared" si="36"/>
        <v>0</v>
      </c>
      <c r="AE116" s="73">
        <f t="shared" si="37"/>
        <v>0</v>
      </c>
      <c r="AG116" s="238"/>
      <c r="AH116" s="239"/>
    </row>
    <row r="117" spans="3:34" ht="10.5" thickBot="1">
      <c r="C117" s="74">
        <v>115</v>
      </c>
      <c r="D117" s="115" t="str">
        <f>IF(D39="Spieler 10","Sieger 37",IF(E39="Spieler 74","Sieger 37",IF(D39=E39,"Freilos",IF(E39="Freilos",D39,IF(D39="Freilos",E39,IF(F39&gt;G39,D39,IF(G39&gt;F39,E39,"Sieger 37")))))))</f>
        <v>Sieger 37</v>
      </c>
      <c r="E117" s="116" t="str">
        <f>IF(D40="Spieler 42","Sieger 38",IF(E40="Spieler 106","Sieger 38",IF(D40=E40,"Freilos",IF(E40="Freilos",D40,IF(D40="Freilos",E40,IF(F40&gt;G40,D40,IF(G40&gt;F40,E40,"Sieger 38")))))))</f>
        <v>Sieger 38</v>
      </c>
      <c r="F117" s="117"/>
      <c r="G117" s="118"/>
      <c r="H117" s="99"/>
      <c r="I117" s="99"/>
      <c r="J117" s="99"/>
      <c r="K117" s="119"/>
      <c r="L117" s="71"/>
      <c r="N117" s="48">
        <f t="shared" si="22"/>
        <v>0</v>
      </c>
      <c r="O117" s="48">
        <f t="shared" si="23"/>
        <v>0</v>
      </c>
      <c r="P117" s="48">
        <f t="shared" si="24"/>
        <v>0</v>
      </c>
      <c r="Q117" s="48">
        <f t="shared" si="25"/>
        <v>0</v>
      </c>
      <c r="R117" s="48">
        <f t="shared" si="26"/>
        <v>0</v>
      </c>
      <c r="S117" s="48">
        <f t="shared" si="27"/>
        <v>0</v>
      </c>
      <c r="T117" s="72">
        <f t="shared" si="38"/>
        <v>0</v>
      </c>
      <c r="U117" s="72">
        <f t="shared" si="39"/>
        <v>0</v>
      </c>
      <c r="V117" s="48">
        <v>115</v>
      </c>
      <c r="W117" s="48" t="str">
        <f>IF(Spielereingabe!F123="","Spieler 115",Spielereingabe!F123)</f>
        <v>Spieler 115</v>
      </c>
      <c r="X117" s="48">
        <f t="shared" si="40"/>
        <v>0</v>
      </c>
      <c r="Y117" s="48">
        <f t="shared" si="41"/>
        <v>0</v>
      </c>
      <c r="Z117" s="48">
        <f t="shared" si="42"/>
        <v>0</v>
      </c>
      <c r="AA117" s="48">
        <f t="shared" si="35"/>
        <v>0</v>
      </c>
      <c r="AB117" s="48">
        <f t="shared" si="43"/>
        <v>0</v>
      </c>
      <c r="AC117" s="48">
        <f t="shared" si="44"/>
        <v>0</v>
      </c>
      <c r="AD117" s="48">
        <f t="shared" si="36"/>
        <v>0</v>
      </c>
      <c r="AE117" s="73">
        <f t="shared" si="37"/>
        <v>0</v>
      </c>
      <c r="AG117" s="238"/>
      <c r="AH117" s="239"/>
    </row>
    <row r="118" spans="3:34" ht="10.5" thickBot="1">
      <c r="C118" s="74">
        <v>116</v>
      </c>
      <c r="D118" s="115" t="str">
        <f>IF(D41="Spieler 26","Sieger 39",IF(E41="Spieler 90","Sieger 39",IF(D41=E41,"Freilos",IF(E41="Freilos",D41,IF(D41="Freilos",E41,IF(F41&gt;G41,D41,IF(G41&gt;F41,E41,"Sieger 39")))))))</f>
        <v>Sieger 39</v>
      </c>
      <c r="E118" s="116" t="str">
        <f>IF(D42="Spieler 58","Sieger 40",IF(E42="Spieler 122","Sieger 40",IF(D42=E42,"Freilos",IF(E42="Freilos",D42,IF(D42="Freilos",E42,IF(F42&gt;G42,D42,IF(G42&gt;F42,E42,"Sieger 40")))))))</f>
        <v>Sieger 40</v>
      </c>
      <c r="F118" s="117"/>
      <c r="G118" s="118"/>
      <c r="H118" s="99"/>
      <c r="I118" s="99"/>
      <c r="J118" s="99"/>
      <c r="K118" s="119"/>
      <c r="L118" s="71"/>
      <c r="N118" s="48">
        <f t="shared" si="22"/>
        <v>0</v>
      </c>
      <c r="O118" s="48">
        <f t="shared" si="23"/>
        <v>0</v>
      </c>
      <c r="P118" s="48">
        <f t="shared" si="24"/>
        <v>0</v>
      </c>
      <c r="Q118" s="48">
        <f t="shared" si="25"/>
        <v>0</v>
      </c>
      <c r="R118" s="48">
        <f t="shared" si="26"/>
        <v>0</v>
      </c>
      <c r="S118" s="48">
        <f t="shared" si="27"/>
        <v>0</v>
      </c>
      <c r="T118" s="72">
        <f t="shared" si="38"/>
        <v>0</v>
      </c>
      <c r="U118" s="72">
        <f t="shared" si="39"/>
        <v>0</v>
      </c>
      <c r="V118" s="48">
        <v>116</v>
      </c>
      <c r="W118" s="48" t="str">
        <f>IF(Spielereingabe!F124="","Spieler 116",Spielereingabe!F124)</f>
        <v>Spieler 116</v>
      </c>
      <c r="X118" s="48">
        <f t="shared" si="40"/>
        <v>0</v>
      </c>
      <c r="Y118" s="48">
        <f t="shared" si="41"/>
        <v>0</v>
      </c>
      <c r="Z118" s="48">
        <f t="shared" si="42"/>
        <v>0</v>
      </c>
      <c r="AA118" s="48">
        <f t="shared" si="35"/>
        <v>0</v>
      </c>
      <c r="AB118" s="48">
        <f t="shared" si="43"/>
        <v>0</v>
      </c>
      <c r="AC118" s="48">
        <f t="shared" si="44"/>
        <v>0</v>
      </c>
      <c r="AD118" s="48">
        <f t="shared" si="36"/>
        <v>0</v>
      </c>
      <c r="AE118" s="73">
        <f t="shared" si="37"/>
        <v>0</v>
      </c>
      <c r="AG118" s="238"/>
      <c r="AH118" s="239"/>
    </row>
    <row r="119" spans="3:34" ht="10.5" thickBot="1">
      <c r="C119" s="74">
        <v>117</v>
      </c>
      <c r="D119" s="115" t="str">
        <f>IF(D43="Spieler 6","Sieger 41",IF(E43="Spieler 70","Sieger 41",IF(D43=E43,"Freilos",IF(E43="Freilos",D43,IF(D43="Freilos",E43,IF(F43&gt;G43,D43,IF(G43&gt;F43,E43,"Sieger 41")))))))</f>
        <v>Sieger 41</v>
      </c>
      <c r="E119" s="116" t="str">
        <f>IF(D44="Spieler 38","Sieger 42",IF(E44="Spieler 102","Sieger 42",IF(D44=E44,"Freilos",IF(E44="Freilos",D44,IF(D44="Freilos",E44,IF(F44&gt;G44,D44,IF(G44&gt;F44,E44,"Sieger 42")))))))</f>
        <v>Sieger 42</v>
      </c>
      <c r="F119" s="117"/>
      <c r="G119" s="118"/>
      <c r="H119" s="99"/>
      <c r="I119" s="99"/>
      <c r="J119" s="99"/>
      <c r="K119" s="119"/>
      <c r="L119" s="71"/>
      <c r="N119" s="48">
        <f t="shared" si="22"/>
        <v>0</v>
      </c>
      <c r="O119" s="48">
        <f t="shared" si="23"/>
        <v>0</v>
      </c>
      <c r="P119" s="48">
        <f t="shared" si="24"/>
        <v>0</v>
      </c>
      <c r="Q119" s="48">
        <f t="shared" si="25"/>
        <v>0</v>
      </c>
      <c r="R119" s="48">
        <f t="shared" si="26"/>
        <v>0</v>
      </c>
      <c r="S119" s="48">
        <f t="shared" si="27"/>
        <v>0</v>
      </c>
      <c r="T119" s="72">
        <f t="shared" si="38"/>
        <v>0</v>
      </c>
      <c r="U119" s="72">
        <f t="shared" si="39"/>
        <v>0</v>
      </c>
      <c r="V119" s="48">
        <v>117</v>
      </c>
      <c r="W119" s="48" t="str">
        <f>IF(Spielereingabe!F125="","Spieler 117",Spielereingabe!F125)</f>
        <v>Spieler 117</v>
      </c>
      <c r="X119" s="48">
        <f t="shared" si="40"/>
        <v>0</v>
      </c>
      <c r="Y119" s="48">
        <f t="shared" si="41"/>
        <v>0</v>
      </c>
      <c r="Z119" s="48">
        <f t="shared" si="42"/>
        <v>0</v>
      </c>
      <c r="AA119" s="48">
        <f t="shared" si="35"/>
        <v>0</v>
      </c>
      <c r="AB119" s="48">
        <f t="shared" si="43"/>
        <v>0</v>
      </c>
      <c r="AC119" s="48">
        <f t="shared" si="44"/>
        <v>0</v>
      </c>
      <c r="AD119" s="48">
        <f t="shared" si="36"/>
        <v>0</v>
      </c>
      <c r="AE119" s="73">
        <f t="shared" si="37"/>
        <v>0</v>
      </c>
      <c r="AG119" s="238"/>
      <c r="AH119" s="239"/>
    </row>
    <row r="120" spans="3:34" ht="10.5" thickBot="1">
      <c r="C120" s="74">
        <v>118</v>
      </c>
      <c r="D120" s="115" t="str">
        <f>IF(D45="Spieler 22","Sieger 43",IF(E45="Spieler 86","Sieger 43",IF(D45=E45,"Freilos",IF(E45="Freilos",D45,IF(D45="Freilos",E45,IF(F45&gt;G45,D45,IF(G45&gt;F45,E45,"Sieger 43")))))))</f>
        <v>Sieger 43</v>
      </c>
      <c r="E120" s="116" t="str">
        <f>IF(D46="Spieler 54","Sieger 44",IF(E46="Spieler 118","Sieger 44",IF(D46=E46,"Freilos",IF(E46="Freilos",D46,IF(D46="Freilos",E46,IF(F46&gt;G46,D46,IF(G46&gt;F46,E46,"Sieger 44")))))))</f>
        <v>Sieger 44</v>
      </c>
      <c r="F120" s="117"/>
      <c r="G120" s="118"/>
      <c r="H120" s="99"/>
      <c r="I120" s="99"/>
      <c r="J120" s="99"/>
      <c r="K120" s="119"/>
      <c r="L120" s="71"/>
      <c r="N120" s="48">
        <f t="shared" si="22"/>
        <v>0</v>
      </c>
      <c r="O120" s="48">
        <f t="shared" si="23"/>
        <v>0</v>
      </c>
      <c r="P120" s="48">
        <f t="shared" si="24"/>
        <v>0</v>
      </c>
      <c r="Q120" s="48">
        <f t="shared" si="25"/>
        <v>0</v>
      </c>
      <c r="R120" s="48">
        <f t="shared" si="26"/>
        <v>0</v>
      </c>
      <c r="S120" s="48">
        <f t="shared" si="27"/>
        <v>0</v>
      </c>
      <c r="T120" s="72">
        <f t="shared" si="38"/>
        <v>0</v>
      </c>
      <c r="U120" s="72">
        <f t="shared" si="39"/>
        <v>0</v>
      </c>
      <c r="V120" s="48">
        <v>118</v>
      </c>
      <c r="W120" s="48" t="str">
        <f>IF(Spielereingabe!F126="","Spieler 118",Spielereingabe!F126)</f>
        <v>Spieler 118</v>
      </c>
      <c r="X120" s="48">
        <f t="shared" si="40"/>
        <v>0</v>
      </c>
      <c r="Y120" s="48">
        <f t="shared" si="41"/>
        <v>0</v>
      </c>
      <c r="Z120" s="48">
        <f t="shared" si="42"/>
        <v>0</v>
      </c>
      <c r="AA120" s="48">
        <f t="shared" si="35"/>
        <v>0</v>
      </c>
      <c r="AB120" s="48">
        <f t="shared" si="43"/>
        <v>0</v>
      </c>
      <c r="AC120" s="48">
        <f t="shared" si="44"/>
        <v>0</v>
      </c>
      <c r="AD120" s="48">
        <f t="shared" si="36"/>
        <v>0</v>
      </c>
      <c r="AE120" s="73">
        <f t="shared" si="37"/>
        <v>0</v>
      </c>
      <c r="AG120" s="238"/>
      <c r="AH120" s="239"/>
    </row>
    <row r="121" spans="3:34" ht="10.5" thickBot="1">
      <c r="C121" s="74">
        <v>119</v>
      </c>
      <c r="D121" s="115" t="str">
        <f>IF(D47="Spieler 14","Sieger 45",IF(E47="Spieler 78","Sieger 45",IF(D47=E47,"Freilos",IF(E47="Freilos",D47,IF(D47="Freilos",E47,IF(F47&gt;G47,D47,IF(G47&gt;F47,E47,"Sieger 45")))))))</f>
        <v>Sieger 45</v>
      </c>
      <c r="E121" s="116" t="str">
        <f>IF(D48="Spieler 48","Sieger 46",IF(E48="Spieler 112","Sieger 46",IF(D48=E48,"Freilos",IF(E48="Freilos",D48,IF(D48="Freilos",E48,IF(F48&gt;G48,D48,IF(G48&gt;F48,E48,"Sieger 46")))))))</f>
        <v>Sieger 46</v>
      </c>
      <c r="F121" s="117"/>
      <c r="G121" s="118"/>
      <c r="H121" s="99"/>
      <c r="I121" s="99"/>
      <c r="J121" s="99"/>
      <c r="K121" s="119"/>
      <c r="L121" s="71"/>
      <c r="N121" s="48">
        <f t="shared" si="22"/>
        <v>0</v>
      </c>
      <c r="O121" s="48">
        <f t="shared" si="23"/>
        <v>0</v>
      </c>
      <c r="P121" s="48">
        <f t="shared" si="24"/>
        <v>0</v>
      </c>
      <c r="Q121" s="48">
        <f t="shared" si="25"/>
        <v>0</v>
      </c>
      <c r="R121" s="48">
        <f t="shared" si="26"/>
        <v>0</v>
      </c>
      <c r="S121" s="48">
        <f t="shared" si="27"/>
        <v>0</v>
      </c>
      <c r="T121" s="72">
        <f t="shared" si="38"/>
        <v>0</v>
      </c>
      <c r="U121" s="72">
        <f t="shared" si="39"/>
        <v>0</v>
      </c>
      <c r="V121" s="48">
        <v>119</v>
      </c>
      <c r="W121" s="48" t="str">
        <f>IF(Spielereingabe!F127="","Spieler 119",Spielereingabe!F127)</f>
        <v>Spieler 119</v>
      </c>
      <c r="X121" s="48">
        <f t="shared" si="40"/>
        <v>0</v>
      </c>
      <c r="Y121" s="48">
        <f t="shared" si="41"/>
        <v>0</v>
      </c>
      <c r="Z121" s="48">
        <f t="shared" si="42"/>
        <v>0</v>
      </c>
      <c r="AA121" s="48">
        <f t="shared" si="35"/>
        <v>0</v>
      </c>
      <c r="AB121" s="48">
        <f t="shared" si="43"/>
        <v>0</v>
      </c>
      <c r="AC121" s="48">
        <f t="shared" si="44"/>
        <v>0</v>
      </c>
      <c r="AD121" s="48">
        <f t="shared" si="36"/>
        <v>0</v>
      </c>
      <c r="AE121" s="73">
        <f t="shared" si="37"/>
        <v>0</v>
      </c>
      <c r="AG121" s="238"/>
      <c r="AH121" s="239"/>
    </row>
    <row r="122" spans="3:34" ht="10.5" thickBot="1">
      <c r="C122" s="74">
        <v>120</v>
      </c>
      <c r="D122" s="115" t="str">
        <f>IF(D49="Spieler 30","Sieger 47",IF(E49="Spieler 94","Sieger 47",IF(D49=E49,"Freilos",IF(E49="Freilos",D49,IF(D49="Freilos",E49,IF(F49&gt;G49,D49,IF(G49&gt;F49,E49,"Sieger 47")))))))</f>
        <v>Sieger 47</v>
      </c>
      <c r="E122" s="116" t="str">
        <f>IF(D50="Spieler 62","Sieger 48",IF(E50="Spieler 126","Sieger 48",IF(D50=E50,"Freilos",IF(E50="Freilos",D50,IF(D50="Freilos",E50,IF(F50&gt;G50,D50,IF(G50&gt;F50,E50,"Sieger 48")))))))</f>
        <v>Sieger 48</v>
      </c>
      <c r="F122" s="117"/>
      <c r="G122" s="118"/>
      <c r="H122" s="99"/>
      <c r="I122" s="99"/>
      <c r="J122" s="99"/>
      <c r="K122" s="119"/>
      <c r="L122" s="71"/>
      <c r="N122" s="48">
        <f t="shared" si="22"/>
        <v>0</v>
      </c>
      <c r="O122" s="48">
        <f t="shared" si="23"/>
        <v>0</v>
      </c>
      <c r="P122" s="48">
        <f t="shared" si="24"/>
        <v>0</v>
      </c>
      <c r="Q122" s="48">
        <f t="shared" si="25"/>
        <v>0</v>
      </c>
      <c r="R122" s="48">
        <f t="shared" si="26"/>
        <v>0</v>
      </c>
      <c r="S122" s="48">
        <f t="shared" si="27"/>
        <v>0</v>
      </c>
      <c r="T122" s="72">
        <f t="shared" si="38"/>
        <v>0</v>
      </c>
      <c r="U122" s="72">
        <f t="shared" si="39"/>
        <v>0</v>
      </c>
      <c r="V122" s="48">
        <v>120</v>
      </c>
      <c r="W122" s="48" t="str">
        <f>IF(Spielereingabe!F128="","Spieler 120",Spielereingabe!F128)</f>
        <v>Spieler 120</v>
      </c>
      <c r="X122" s="48">
        <f t="shared" si="40"/>
        <v>0</v>
      </c>
      <c r="Y122" s="48">
        <f t="shared" si="41"/>
        <v>0</v>
      </c>
      <c r="Z122" s="48">
        <f t="shared" si="42"/>
        <v>0</v>
      </c>
      <c r="AA122" s="48">
        <f t="shared" si="35"/>
        <v>0</v>
      </c>
      <c r="AB122" s="48">
        <f t="shared" si="43"/>
        <v>0</v>
      </c>
      <c r="AC122" s="48">
        <f t="shared" si="44"/>
        <v>0</v>
      </c>
      <c r="AD122" s="48">
        <f t="shared" si="36"/>
        <v>0</v>
      </c>
      <c r="AE122" s="73">
        <f t="shared" si="37"/>
        <v>0</v>
      </c>
      <c r="AG122" s="238"/>
      <c r="AH122" s="239"/>
    </row>
    <row r="123" spans="3:34" ht="10.5" thickBot="1">
      <c r="C123" s="74">
        <v>121</v>
      </c>
      <c r="D123" s="115" t="str">
        <f>IF(D51="Spieler 4","Sieger 49",IF(E51="Spieler 68","Sieger 49",IF(D51=E51,"Freilos",IF(E51="Freilos",D51,IF(D51="Freilos",E51,IF(F51&gt;G51,D51,IF(G51&gt;F51,E51,"Sieger 49")))))))</f>
        <v>Sieger 49</v>
      </c>
      <c r="E123" s="116" t="str">
        <f>IF(D52="Spieler 36","Sieger 50",IF(E52="Spieler 100","Sieger 50",IF(D52=E52,"Freilos",IF(E52="Freilos",D52,IF(D52="Freilos",E52,IF(F52&gt;G52,D52,IF(G52&gt;F52,E52,"Sieger 50")))))))</f>
        <v>Sieger 50</v>
      </c>
      <c r="F123" s="117"/>
      <c r="G123" s="118"/>
      <c r="H123" s="99"/>
      <c r="I123" s="99"/>
      <c r="J123" s="99"/>
      <c r="K123" s="119"/>
      <c r="L123" s="71"/>
      <c r="N123" s="48">
        <f t="shared" si="22"/>
        <v>0</v>
      </c>
      <c r="O123" s="48">
        <f t="shared" si="23"/>
        <v>0</v>
      </c>
      <c r="P123" s="48">
        <f t="shared" si="24"/>
        <v>0</v>
      </c>
      <c r="Q123" s="48">
        <f t="shared" si="25"/>
        <v>0</v>
      </c>
      <c r="R123" s="48">
        <f t="shared" si="26"/>
        <v>0</v>
      </c>
      <c r="S123" s="48">
        <f t="shared" si="27"/>
        <v>0</v>
      </c>
      <c r="T123" s="72">
        <f t="shared" si="38"/>
        <v>0</v>
      </c>
      <c r="U123" s="72">
        <f t="shared" si="39"/>
        <v>0</v>
      </c>
      <c r="V123" s="48">
        <v>121</v>
      </c>
      <c r="W123" s="48" t="str">
        <f>IF(Spielereingabe!F129="","Spieler 121",Spielereingabe!F129)</f>
        <v>Spieler 121</v>
      </c>
      <c r="X123" s="48">
        <f t="shared" si="40"/>
        <v>0</v>
      </c>
      <c r="Y123" s="48">
        <f t="shared" si="41"/>
        <v>0</v>
      </c>
      <c r="Z123" s="48">
        <f t="shared" si="42"/>
        <v>0</v>
      </c>
      <c r="AA123" s="48">
        <f t="shared" si="35"/>
        <v>0</v>
      </c>
      <c r="AB123" s="48">
        <f t="shared" si="43"/>
        <v>0</v>
      </c>
      <c r="AC123" s="48">
        <f t="shared" si="44"/>
        <v>0</v>
      </c>
      <c r="AD123" s="48">
        <f t="shared" si="36"/>
        <v>0</v>
      </c>
      <c r="AE123" s="73">
        <f t="shared" si="37"/>
        <v>0</v>
      </c>
      <c r="AG123" s="238"/>
      <c r="AH123" s="239"/>
    </row>
    <row r="124" spans="3:34" ht="10.5" thickBot="1">
      <c r="C124" s="74">
        <v>122</v>
      </c>
      <c r="D124" s="115" t="str">
        <f>IF(D53="Spieler 20","Sieger 51",IF(E53="Spieler 84","Sieger 51",IF(D53=E53,"Freilos",IF(E53="Freilos",D53,IF(D53="Freilos",E53,IF(F53&gt;G53,D53,IF(G53&gt;F53,E53,"Sieger 51")))))))</f>
        <v>Sieger 51</v>
      </c>
      <c r="E124" s="116" t="str">
        <f>IF(D54="Spieler 52","Sieger 52",IF(E54="Spieler 116","Sieger 52",IF(D54=E54,"Freilos",IF(E54="Freilos",D54,IF(D54="Freilos",E54,IF(F54&gt;G54,D54,IF(G54&gt;F54,E54,"Sieger 52")))))))</f>
        <v>Sieger 52</v>
      </c>
      <c r="F124" s="117"/>
      <c r="G124" s="118"/>
      <c r="H124" s="99"/>
      <c r="I124" s="99"/>
      <c r="J124" s="99"/>
      <c r="K124" s="119"/>
      <c r="L124" s="71"/>
      <c r="N124" s="48">
        <f t="shared" si="22"/>
        <v>0</v>
      </c>
      <c r="O124" s="48">
        <f t="shared" si="23"/>
        <v>0</v>
      </c>
      <c r="P124" s="48">
        <f t="shared" si="24"/>
        <v>0</v>
      </c>
      <c r="Q124" s="48">
        <f t="shared" si="25"/>
        <v>0</v>
      </c>
      <c r="R124" s="48">
        <f t="shared" si="26"/>
        <v>0</v>
      </c>
      <c r="S124" s="48">
        <f t="shared" si="27"/>
        <v>0</v>
      </c>
      <c r="T124" s="72">
        <f t="shared" si="38"/>
        <v>0</v>
      </c>
      <c r="U124" s="72">
        <f t="shared" si="39"/>
        <v>0</v>
      </c>
      <c r="V124" s="48">
        <v>122</v>
      </c>
      <c r="W124" s="48" t="str">
        <f>IF(Spielereingabe!F130="","Spieler 122",Spielereingabe!F130)</f>
        <v>Spieler 122</v>
      </c>
      <c r="X124" s="48">
        <f t="shared" si="40"/>
        <v>0</v>
      </c>
      <c r="Y124" s="48">
        <f t="shared" si="41"/>
        <v>0</v>
      </c>
      <c r="Z124" s="48">
        <f t="shared" si="42"/>
        <v>0</v>
      </c>
      <c r="AA124" s="48">
        <f t="shared" si="35"/>
        <v>0</v>
      </c>
      <c r="AB124" s="48">
        <f t="shared" si="43"/>
        <v>0</v>
      </c>
      <c r="AC124" s="48">
        <f t="shared" si="44"/>
        <v>0</v>
      </c>
      <c r="AD124" s="48">
        <f t="shared" si="36"/>
        <v>0</v>
      </c>
      <c r="AE124" s="73">
        <f t="shared" si="37"/>
        <v>0</v>
      </c>
      <c r="AG124" s="238"/>
      <c r="AH124" s="239"/>
    </row>
    <row r="125" spans="3:34" ht="10.5" thickBot="1">
      <c r="C125" s="74">
        <v>123</v>
      </c>
      <c r="D125" s="115" t="str">
        <f>IF(D55="Spieler 12","Sieger 53",IF(E55="Spieler 76","Sieger 53",IF(D55=E55,"Freilos",IF(E55="Freilos",D55,IF(D55="Freilos",E55,IF(F55&gt;G55,D55,IF(G55&gt;F55,E55,"Sieger 53")))))))</f>
        <v>Sieger 53</v>
      </c>
      <c r="E125" s="116" t="str">
        <f>IF(D56="Spieler 44","Sieger 54",IF(E56="Spieler 108","Sieger 54",IF(D56=E56,"Freilos",IF(E56="Freilos",D56,IF(D56="Freilos",E56,IF(F56&gt;G56,D56,IF(G56&gt;F56,E56,"Sieger 54")))))))</f>
        <v>Sieger 54</v>
      </c>
      <c r="F125" s="117"/>
      <c r="G125" s="118"/>
      <c r="H125" s="99"/>
      <c r="I125" s="99"/>
      <c r="J125" s="99"/>
      <c r="K125" s="119"/>
      <c r="L125" s="71"/>
      <c r="N125" s="48">
        <f t="shared" si="22"/>
        <v>0</v>
      </c>
      <c r="O125" s="48">
        <f t="shared" si="23"/>
        <v>0</v>
      </c>
      <c r="P125" s="48">
        <f t="shared" si="24"/>
        <v>0</v>
      </c>
      <c r="Q125" s="48">
        <f t="shared" si="25"/>
        <v>0</v>
      </c>
      <c r="R125" s="48">
        <f t="shared" si="26"/>
        <v>0</v>
      </c>
      <c r="S125" s="48">
        <f t="shared" si="27"/>
        <v>0</v>
      </c>
      <c r="T125" s="72">
        <f t="shared" si="38"/>
        <v>0</v>
      </c>
      <c r="U125" s="72">
        <f t="shared" si="39"/>
        <v>0</v>
      </c>
      <c r="V125" s="48">
        <v>123</v>
      </c>
      <c r="W125" s="48" t="str">
        <f>IF(Spielereingabe!F131="","Spieler 123",Spielereingabe!F131)</f>
        <v>Spieler 123</v>
      </c>
      <c r="X125" s="48">
        <f t="shared" si="40"/>
        <v>0</v>
      </c>
      <c r="Y125" s="48">
        <f t="shared" si="41"/>
        <v>0</v>
      </c>
      <c r="Z125" s="48">
        <f t="shared" si="42"/>
        <v>0</v>
      </c>
      <c r="AA125" s="48">
        <f t="shared" si="35"/>
        <v>0</v>
      </c>
      <c r="AB125" s="48">
        <f t="shared" si="43"/>
        <v>0</v>
      </c>
      <c r="AC125" s="48">
        <f t="shared" si="44"/>
        <v>0</v>
      </c>
      <c r="AD125" s="48">
        <f t="shared" si="36"/>
        <v>0</v>
      </c>
      <c r="AE125" s="73">
        <f t="shared" si="37"/>
        <v>0</v>
      </c>
      <c r="AG125" s="238"/>
      <c r="AH125" s="239"/>
    </row>
    <row r="126" spans="3:34" ht="10.5" thickBot="1">
      <c r="C126" s="74">
        <v>124</v>
      </c>
      <c r="D126" s="115" t="str">
        <f>IF(D57="Spieler 28","Sieger 55",IF(E57="Spieler 92","Sieger 55",IF(D57=E57,"Freilos",IF(E57="Freilos",D57,IF(D57="Freilos",E57,IF(F57&gt;G57,D57,IF(G57&gt;F57,E57,"Sieger 55")))))))</f>
        <v>Sieger 55</v>
      </c>
      <c r="E126" s="116" t="str">
        <f>IF(D58="Spieler 60","Sieger 56",IF(E58="Spieler 124","Sieger 56",IF(D58=E58,"Freilos",IF(E58="Freilos",D58,IF(D58="Freilos",E58,IF(F58&gt;G58,D58,IF(G58&gt;F58,E58,"Sieger 56")))))))</f>
        <v>Sieger 56</v>
      </c>
      <c r="F126" s="117"/>
      <c r="G126" s="118"/>
      <c r="H126" s="99"/>
      <c r="I126" s="99"/>
      <c r="J126" s="99"/>
      <c r="K126" s="119"/>
      <c r="L126" s="71"/>
      <c r="N126" s="48">
        <f t="shared" si="22"/>
        <v>0</v>
      </c>
      <c r="O126" s="48">
        <f t="shared" si="23"/>
        <v>0</v>
      </c>
      <c r="P126" s="48">
        <f t="shared" si="24"/>
        <v>0</v>
      </c>
      <c r="Q126" s="48">
        <f t="shared" si="25"/>
        <v>0</v>
      </c>
      <c r="R126" s="48">
        <f t="shared" si="26"/>
        <v>0</v>
      </c>
      <c r="S126" s="48">
        <f t="shared" si="27"/>
        <v>0</v>
      </c>
      <c r="T126" s="72">
        <f t="shared" si="38"/>
        <v>0</v>
      </c>
      <c r="U126" s="72">
        <f t="shared" si="39"/>
        <v>0</v>
      </c>
      <c r="V126" s="48">
        <v>124</v>
      </c>
      <c r="W126" s="48" t="str">
        <f>IF(Spielereingabe!F132="","Spieler 124",Spielereingabe!F132)</f>
        <v>Spieler 124</v>
      </c>
      <c r="X126" s="48">
        <f t="shared" si="40"/>
        <v>0</v>
      </c>
      <c r="Y126" s="48">
        <f t="shared" si="41"/>
        <v>0</v>
      </c>
      <c r="Z126" s="48">
        <f t="shared" si="42"/>
        <v>0</v>
      </c>
      <c r="AA126" s="48">
        <f t="shared" si="35"/>
        <v>0</v>
      </c>
      <c r="AB126" s="48">
        <f t="shared" si="43"/>
        <v>0</v>
      </c>
      <c r="AC126" s="48">
        <f t="shared" si="44"/>
        <v>0</v>
      </c>
      <c r="AD126" s="48">
        <f t="shared" si="36"/>
        <v>0</v>
      </c>
      <c r="AE126" s="73">
        <f t="shared" si="37"/>
        <v>0</v>
      </c>
      <c r="AG126" s="238"/>
      <c r="AH126" s="239"/>
    </row>
    <row r="127" spans="3:34" ht="10.5" thickBot="1">
      <c r="C127" s="74">
        <v>125</v>
      </c>
      <c r="D127" s="115" t="str">
        <f>IF(D59="Spieler 8","Sieger 57",IF(E59="Spieler 72","Sieger 57",IF(D59=E59,"Freilos",IF(E59="Freilos",D59,IF(D59="Freilos",E59,IF(F59&gt;G59,D59,IF(G59&gt;F59,E59,"Sieger 57")))))))</f>
        <v>Sieger 57</v>
      </c>
      <c r="E127" s="116" t="str">
        <f>IF(D60="Spieler 40","Sieger 58",IF(E60="Spieler 108","Sieger 58",IF(D60=E60,"Freilos",IF(E60="Freilos",D60,IF(D60="Freilos",E60,IF(F60&gt;G60,D60,IF(G60&gt;F60,E60,"Sieger 58")))))))</f>
        <v>Sieger 58</v>
      </c>
      <c r="F127" s="117"/>
      <c r="G127" s="118"/>
      <c r="H127" s="99"/>
      <c r="I127" s="99"/>
      <c r="J127" s="99"/>
      <c r="K127" s="119"/>
      <c r="L127" s="71"/>
      <c r="N127" s="48">
        <f t="shared" si="22"/>
        <v>0</v>
      </c>
      <c r="O127" s="48">
        <f t="shared" si="23"/>
        <v>0</v>
      </c>
      <c r="P127" s="48">
        <f t="shared" si="24"/>
        <v>0</v>
      </c>
      <c r="Q127" s="48">
        <f t="shared" si="25"/>
        <v>0</v>
      </c>
      <c r="R127" s="48">
        <f t="shared" si="26"/>
        <v>0</v>
      </c>
      <c r="S127" s="48">
        <f t="shared" si="27"/>
        <v>0</v>
      </c>
      <c r="T127" s="72">
        <f t="shared" si="38"/>
        <v>0</v>
      </c>
      <c r="U127" s="72">
        <f t="shared" si="39"/>
        <v>0</v>
      </c>
      <c r="V127" s="48">
        <v>125</v>
      </c>
      <c r="W127" s="48" t="str">
        <f>IF(Spielereingabe!F133="","Spieler 125",Spielereingabe!F133)</f>
        <v>Spieler 125</v>
      </c>
      <c r="X127" s="48">
        <f t="shared" si="40"/>
        <v>0</v>
      </c>
      <c r="Y127" s="48">
        <f t="shared" si="41"/>
        <v>0</v>
      </c>
      <c r="Z127" s="48">
        <f t="shared" si="42"/>
        <v>0</v>
      </c>
      <c r="AA127" s="48">
        <f t="shared" si="35"/>
        <v>0</v>
      </c>
      <c r="AB127" s="48">
        <f t="shared" si="43"/>
        <v>0</v>
      </c>
      <c r="AC127" s="48">
        <f t="shared" si="44"/>
        <v>0</v>
      </c>
      <c r="AD127" s="48">
        <f t="shared" si="36"/>
        <v>0</v>
      </c>
      <c r="AE127" s="73">
        <f t="shared" si="37"/>
        <v>0</v>
      </c>
      <c r="AG127" s="238"/>
      <c r="AH127" s="239"/>
    </row>
    <row r="128" spans="3:34" ht="10.5" thickBot="1">
      <c r="C128" s="74">
        <v>126</v>
      </c>
      <c r="D128" s="115" t="str">
        <f>IF(D61="Spieler 24","Sieger 59",IF(E61="Spieler 88","Sieger 59",IF(D61=E61,"Freilos",IF(E61="Freilos",D61,IF(D61="Freilos",E61,IF(F61&gt;G61,D61,IF(G61&gt;F61,E61,"Sieger 59")))))))</f>
        <v>Sieger 59</v>
      </c>
      <c r="E128" s="116" t="str">
        <f>IF(D62="Spieler 56","Sieger 60",IF(E62="Spieler 120","Sieger 60",IF(D62=E62,"Freilos",IF(E62="Freilos",D62,IF(D62="Freilos",E62,IF(F62&gt;G62,D62,IF(G62&gt;F62,E62,"Sieger 60")))))))</f>
        <v>Sieger 60</v>
      </c>
      <c r="F128" s="117"/>
      <c r="G128" s="118"/>
      <c r="H128" s="99"/>
      <c r="I128" s="99"/>
      <c r="J128" s="99"/>
      <c r="K128" s="119"/>
      <c r="L128" s="71"/>
      <c r="N128" s="48">
        <f t="shared" si="22"/>
        <v>0</v>
      </c>
      <c r="O128" s="48">
        <f t="shared" si="23"/>
        <v>0</v>
      </c>
      <c r="P128" s="48">
        <f t="shared" si="24"/>
        <v>0</v>
      </c>
      <c r="Q128" s="48">
        <f t="shared" si="25"/>
        <v>0</v>
      </c>
      <c r="R128" s="48">
        <f t="shared" si="26"/>
        <v>0</v>
      </c>
      <c r="S128" s="48">
        <f t="shared" si="27"/>
        <v>0</v>
      </c>
      <c r="T128" s="72">
        <f t="shared" si="38"/>
        <v>0</v>
      </c>
      <c r="U128" s="72">
        <f t="shared" si="39"/>
        <v>0</v>
      </c>
      <c r="V128" s="48">
        <v>126</v>
      </c>
      <c r="W128" s="48" t="str">
        <f>IF(Spielereingabe!F134="","Spieler 126",Spielereingabe!F134)</f>
        <v>Spieler 126</v>
      </c>
      <c r="X128" s="48">
        <f t="shared" si="40"/>
        <v>0</v>
      </c>
      <c r="Y128" s="48">
        <f t="shared" si="41"/>
        <v>0</v>
      </c>
      <c r="Z128" s="48">
        <f t="shared" si="42"/>
        <v>0</v>
      </c>
      <c r="AA128" s="48">
        <f t="shared" si="35"/>
        <v>0</v>
      </c>
      <c r="AB128" s="48">
        <f t="shared" si="43"/>
        <v>0</v>
      </c>
      <c r="AC128" s="48">
        <f t="shared" si="44"/>
        <v>0</v>
      </c>
      <c r="AD128" s="48">
        <f t="shared" si="36"/>
        <v>0</v>
      </c>
      <c r="AE128" s="73">
        <f t="shared" si="37"/>
        <v>0</v>
      </c>
      <c r="AG128" s="238"/>
      <c r="AH128" s="239"/>
    </row>
    <row r="129" spans="3:34" ht="10.5" thickBot="1">
      <c r="C129" s="74">
        <v>127</v>
      </c>
      <c r="D129" s="115" t="str">
        <f>IF(D63="Spieler 16","Sieger 61",IF(E63="Spieler 80","Sieger 61",IF(D63=E63,"Freilos",IF(E63="Freilos",D63,IF(D63="Freilos",E63,IF(F63&gt;G63,D63,IF(G63&gt;F63,E63,"Sieger 61")))))))</f>
        <v>Sieger 61</v>
      </c>
      <c r="E129" s="116" t="str">
        <f>IF(D64="Spieler 48","Sieger 62",IF(E64="Spieler 112","Sieger 62",IF(D64=E64,"Freilos",IF(E64="Freilos",D64,IF(D64="Freilos",E64,IF(F64&gt;G64,D64,IF(G64&gt;F64,E64,"Sieger 62")))))))</f>
        <v>Sieger 62</v>
      </c>
      <c r="F129" s="117"/>
      <c r="G129" s="118"/>
      <c r="H129" s="99"/>
      <c r="I129" s="99"/>
      <c r="J129" s="99"/>
      <c r="K129" s="119"/>
      <c r="L129" s="71"/>
      <c r="N129" s="48">
        <f t="shared" si="22"/>
        <v>0</v>
      </c>
      <c r="O129" s="48">
        <f t="shared" si="23"/>
        <v>0</v>
      </c>
      <c r="P129" s="48">
        <f t="shared" si="24"/>
        <v>0</v>
      </c>
      <c r="Q129" s="48">
        <f t="shared" si="25"/>
        <v>0</v>
      </c>
      <c r="R129" s="48">
        <f t="shared" si="26"/>
        <v>0</v>
      </c>
      <c r="S129" s="48">
        <f t="shared" si="27"/>
        <v>0</v>
      </c>
      <c r="T129" s="72">
        <f t="shared" si="38"/>
        <v>0</v>
      </c>
      <c r="U129" s="72">
        <f t="shared" si="39"/>
        <v>0</v>
      </c>
      <c r="V129" s="48">
        <v>127</v>
      </c>
      <c r="W129" s="48" t="str">
        <f>IF(Spielereingabe!F135="","Spieler 127",Spielereingabe!F135)</f>
        <v>Spieler 127</v>
      </c>
      <c r="X129" s="48">
        <f t="shared" si="40"/>
        <v>0</v>
      </c>
      <c r="Y129" s="48">
        <f t="shared" si="41"/>
        <v>0</v>
      </c>
      <c r="Z129" s="48">
        <f t="shared" si="42"/>
        <v>0</v>
      </c>
      <c r="AA129" s="48">
        <f t="shared" si="35"/>
        <v>0</v>
      </c>
      <c r="AB129" s="48">
        <f t="shared" si="43"/>
        <v>0</v>
      </c>
      <c r="AC129" s="48">
        <f t="shared" si="44"/>
        <v>0</v>
      </c>
      <c r="AD129" s="48">
        <f t="shared" si="36"/>
        <v>0</v>
      </c>
      <c r="AE129" s="73">
        <f t="shared" si="37"/>
        <v>0</v>
      </c>
      <c r="AG129" s="238"/>
      <c r="AH129" s="239"/>
    </row>
    <row r="130" spans="3:34" ht="10.5" thickBot="1">
      <c r="C130" s="74">
        <v>128</v>
      </c>
      <c r="D130" s="120" t="str">
        <f>IF(D65="Spieler 32","Sieger 63",IF(E65="Spieler 96","Sieger 63",IF(D65=E65,"Freilos",IF(E65="Freilos",D65,IF(D65="Freilos",E65,IF(F65&gt;G65,D65,IF(G65&gt;F65,E65,"Sieger 63")))))))</f>
        <v>Sieger 63</v>
      </c>
      <c r="E130" s="121" t="str">
        <f>IF(D66="Spieler 64","Sieger 64",IF(E66="Spieler 128","Sieger 64",IF(D66=E66,"Freilos",IF(E66="Freilos",D66,IF(D66="Freilos",E66,IF(F66&gt;G66,D66,IF(G66&gt;F66,E66,"Sieger 64")))))))</f>
        <v>Sieger 64</v>
      </c>
      <c r="F130" s="117"/>
      <c r="G130" s="118"/>
      <c r="H130" s="99"/>
      <c r="I130" s="99"/>
      <c r="J130" s="99"/>
      <c r="K130" s="119"/>
      <c r="L130" s="71"/>
      <c r="N130" s="48">
        <f>F130+G130</f>
        <v>0</v>
      </c>
      <c r="O130" s="48">
        <f t="shared" si="23"/>
        <v>0</v>
      </c>
      <c r="P130" s="48">
        <f>IF(D130="Freilos",0,IF(F130&lt;G130,1,IF(F130&gt;G130,1,0)))</f>
        <v>0</v>
      </c>
      <c r="Q130" s="48">
        <f>IF(D130="Freilos",0,IF(F130&lt;G130,1,IF(F130&gt;G130,1,0)))</f>
        <v>0</v>
      </c>
      <c r="R130" s="48">
        <f>IF(D130="Freilos",0,IF(F130&gt;G130,1,0))</f>
        <v>0</v>
      </c>
      <c r="S130" s="48">
        <f>IF(D130="Freilos",0,IF(G130&gt;F130,1,0))</f>
        <v>0</v>
      </c>
      <c r="T130" s="72">
        <f t="shared" si="38"/>
        <v>0</v>
      </c>
      <c r="U130" s="72">
        <f t="shared" si="39"/>
        <v>0</v>
      </c>
      <c r="V130" s="48">
        <v>128</v>
      </c>
      <c r="W130" s="48" t="str">
        <f>IF(Spielereingabe!F136="","Spieler 128",Spielereingabe!F136)</f>
        <v>Spieler 128</v>
      </c>
      <c r="X130" s="48">
        <f t="shared" si="40"/>
        <v>0</v>
      </c>
      <c r="Y130" s="48">
        <f t="shared" si="41"/>
        <v>0</v>
      </c>
      <c r="Z130" s="48">
        <f t="shared" si="42"/>
        <v>0</v>
      </c>
      <c r="AA130" s="48">
        <f t="shared" si="35"/>
        <v>0</v>
      </c>
      <c r="AB130" s="48">
        <f t="shared" si="43"/>
        <v>0</v>
      </c>
      <c r="AC130" s="48">
        <f t="shared" si="44"/>
        <v>0</v>
      </c>
      <c r="AD130" s="48">
        <f t="shared" si="36"/>
        <v>0</v>
      </c>
      <c r="AE130" s="73">
        <f t="shared" si="37"/>
        <v>0</v>
      </c>
      <c r="AF130" s="122"/>
      <c r="AG130" s="240"/>
      <c r="AH130" s="239"/>
    </row>
    <row r="131" spans="2:44" ht="10.5" thickBot="1">
      <c r="B131" s="88" t="s">
        <v>28</v>
      </c>
      <c r="C131" s="64">
        <v>129</v>
      </c>
      <c r="D131" s="89" t="str">
        <f>IF(D67="Verlierer 1","Sieger 65",IF(E67="Verlierer 2","Sieger 65",IF(D67=E67,"Freilos",IF(E67="Freilos",D67,IF(D67="Freilos",E67,IF(F67&gt;G67,D67,IF(G67&gt;F67,E67,"Sieger 65")))))))</f>
        <v>Sieger 65</v>
      </c>
      <c r="E131" s="90" t="str">
        <f>IF(D114="Sieger 31","Verlierer 112",IF(E114="Sieger 32","Verlierer 112",IF(D114=E114,"Freilos",IF(E114="Freilos",E114,IF(D114="Freilos",D114,IF(F114&gt;G114,E114,IF(G114&gt;F114,D114,"Verlierer 112")))))))</f>
        <v>Verlierer 112</v>
      </c>
      <c r="F131" s="123"/>
      <c r="G131" s="92"/>
      <c r="H131" s="93"/>
      <c r="I131" s="93"/>
      <c r="J131" s="93"/>
      <c r="K131" s="94"/>
      <c r="L131" s="71"/>
      <c r="M131" s="95">
        <f aca="true" t="shared" si="45" ref="M131:M178">IF(F131&gt;G131,E131,IF(G131&gt;F131,D131,""))</f>
      </c>
      <c r="N131" s="48">
        <f aca="true" t="shared" si="46" ref="N131:N194">F131+G131</f>
        <v>0</v>
      </c>
      <c r="O131" s="48">
        <f aca="true" t="shared" si="47" ref="O131:O194">N131</f>
        <v>0</v>
      </c>
      <c r="P131" s="48">
        <f>IF(D131="Freilos",0,IF(F131&lt;G131,1,IF(F131&gt;G131,1,0)))</f>
        <v>0</v>
      </c>
      <c r="Q131" s="48">
        <f>IF(D131="Freilos",0,IF(F131&lt;G131,1,IF(F131&gt;G131,1,0)))</f>
        <v>0</v>
      </c>
      <c r="R131" s="48">
        <f>IF(D131="Freilos",0,IF(F131&gt;G131,1,0))</f>
        <v>0</v>
      </c>
      <c r="S131" s="48">
        <f>IF(D131="Freilos",0,IF(G131&gt;F131,1,0))</f>
        <v>0</v>
      </c>
      <c r="T131" s="72">
        <f>IF(E146="Freilos",3,IF(F131&gt;G131,3,0))</f>
        <v>0</v>
      </c>
      <c r="U131" s="72">
        <f>IF(D131="Freilos",3,IF(G131&gt;F131,3,0))</f>
        <v>0</v>
      </c>
      <c r="V131" s="124" t="s">
        <v>25</v>
      </c>
      <c r="W131" s="125" t="s">
        <v>0</v>
      </c>
      <c r="X131" s="125" t="s">
        <v>1</v>
      </c>
      <c r="Y131" s="125" t="s">
        <v>5</v>
      </c>
      <c r="Z131" s="125" t="s">
        <v>6</v>
      </c>
      <c r="AA131" s="126" t="s">
        <v>7</v>
      </c>
      <c r="AB131" s="126" t="s">
        <v>8</v>
      </c>
      <c r="AC131" s="126" t="s">
        <v>9</v>
      </c>
      <c r="AD131" s="126" t="s">
        <v>54</v>
      </c>
      <c r="AE131" s="126" t="s">
        <v>55</v>
      </c>
      <c r="AF131" s="233" t="s">
        <v>56</v>
      </c>
      <c r="AG131" s="240"/>
      <c r="AH131" s="241"/>
      <c r="AM131" s="127"/>
      <c r="AO131" s="127"/>
      <c r="AP131" s="127"/>
      <c r="AQ131" s="127"/>
      <c r="AR131" s="127"/>
    </row>
    <row r="132" spans="3:44" ht="10.5" thickBot="1">
      <c r="C132" s="74">
        <v>130</v>
      </c>
      <c r="D132" s="96" t="str">
        <f>IF(D68="Verlierer 3","Sieger 66",IF(E68="Verlierer 4","Sieger 66",IF(D68=E68,"Freilos",IF(E68="Freilos",D68,IF(D68="Freilos",E68,IF(F68&gt;G68,D68,IF(G68&gt;F68,E68,"Sieger 66")))))))</f>
        <v>Sieger 66</v>
      </c>
      <c r="E132" s="97" t="str">
        <f>IF(D113="Sieger 29","Verlierer 111",IF(E113="Sieger 30","Verlierer 111",IF(D113=E113,"Freilos",IF(E113="Freilos",E113,IF(D113="Freilos",D113,IF(F113&gt;G113,E113,IF(G113&gt;F113,D113,"Verlierer 111")))))))</f>
        <v>Verlierer 111</v>
      </c>
      <c r="F132" s="128"/>
      <c r="G132" s="99"/>
      <c r="H132" s="100"/>
      <c r="I132" s="100"/>
      <c r="J132" s="100"/>
      <c r="K132" s="101"/>
      <c r="L132" s="71"/>
      <c r="M132" s="95">
        <f t="shared" si="45"/>
      </c>
      <c r="N132" s="48">
        <f t="shared" si="46"/>
        <v>0</v>
      </c>
      <c r="O132" s="48">
        <f t="shared" si="47"/>
        <v>0</v>
      </c>
      <c r="P132" s="48">
        <f aca="true" t="shared" si="48" ref="P132:P194">IF(D132="Freilos",0,IF(F132&lt;G132,1,IF(F132&gt;G132,1,0)))</f>
        <v>0</v>
      </c>
      <c r="Q132" s="48">
        <f aca="true" t="shared" si="49" ref="Q132:Q194">IF(D132="Freilos",0,IF(F132&lt;G132,1,IF(F132&gt;G132,1,0)))</f>
        <v>0</v>
      </c>
      <c r="R132" s="48">
        <f aca="true" t="shared" si="50" ref="R132:R194">IF(D132="Freilos",0,IF(F132&gt;G132,1,0))</f>
        <v>0</v>
      </c>
      <c r="S132" s="48">
        <f aca="true" t="shared" si="51" ref="S132:S194">IF(D132="Freilos",0,IF(G132&gt;F132,1,0))</f>
        <v>0</v>
      </c>
      <c r="T132" s="72">
        <f>IF(E145="Freilos",3,IF(F132&gt;G132,3,0))</f>
        <v>0</v>
      </c>
      <c r="U132" s="72">
        <f aca="true" t="shared" si="52" ref="U132:U178">IF(D132="Freilos",3,IF(G132&gt;F132,3,0))</f>
        <v>0</v>
      </c>
      <c r="V132" s="129">
        <f>IF(Spielereingabe!F9="","",1)</f>
      </c>
      <c r="W132" s="130">
        <f>IF(SP128!V132="","",Spielereingabe!F9)</f>
      </c>
      <c r="X132" s="130">
        <f>IF(SP128!V132="","",Spielereingabe!G9)</f>
      </c>
      <c r="Y132" s="130">
        <f>IF(SP128!V132="","",Spielereingabe!H9)</f>
      </c>
      <c r="Z132" s="130">
        <f>IF(SP128!V132="","",Spielereingabe!I9)</f>
      </c>
      <c r="AA132" s="131">
        <f>IF(SP128!V132="","",SP128!X3)</f>
      </c>
      <c r="AB132" s="131">
        <f>IF(SP128!V132="","",SP128!Z3)</f>
      </c>
      <c r="AC132" s="131">
        <f>IF(SP128!V132="","",SP128!AA3)</f>
      </c>
      <c r="AD132" s="131">
        <f>IF(SP128!V132="","",SP128!AC3)</f>
      </c>
      <c r="AE132" s="131">
        <f>IF(SP128!V132="","",SP128!AD3)</f>
      </c>
      <c r="AF132" s="234">
        <f>IF(SP128!V132="","",SP128!AE3)</f>
      </c>
      <c r="AG132" s="240"/>
      <c r="AH132" s="241"/>
      <c r="AM132" s="127"/>
      <c r="AO132" s="127"/>
      <c r="AP132" s="127"/>
      <c r="AQ132" s="127"/>
      <c r="AR132" s="127"/>
    </row>
    <row r="133" spans="3:44" ht="10.5" thickBot="1">
      <c r="C133" s="74">
        <v>131</v>
      </c>
      <c r="D133" s="96" t="str">
        <f>IF(D69="Verlierer 5","Sieger 67",IF(E69="Verlierer 6","Sieger 67",IF(D69=E69,"Freilos",IF(E69="Freilos",D69,IF(D69="Freilos",E69,IF(F69&gt;G69,D69,IF(G69&gt;F69,E69,"Sieger 67")))))))</f>
        <v>Sieger 67</v>
      </c>
      <c r="E133" s="97" t="str">
        <f>IF(D112="Sieger 27","Verlierer 110",IF(E112="Sieger 28","Verlierer 110",IF(D112=E112,"Freilos",IF(E112="Freilos",E112,IF(D112="Freilos",D112,IF(F112&gt;G112,E112,IF(G112&gt;F112,D112,"Verlierer 110")))))))</f>
        <v>Verlierer 110</v>
      </c>
      <c r="F133" s="128"/>
      <c r="G133" s="99"/>
      <c r="H133" s="100"/>
      <c r="I133" s="100"/>
      <c r="J133" s="100"/>
      <c r="K133" s="101"/>
      <c r="L133" s="71"/>
      <c r="M133" s="95">
        <f t="shared" si="45"/>
      </c>
      <c r="N133" s="48">
        <f t="shared" si="46"/>
        <v>0</v>
      </c>
      <c r="O133" s="48">
        <f t="shared" si="47"/>
        <v>0</v>
      </c>
      <c r="P133" s="48">
        <f t="shared" si="48"/>
        <v>0</v>
      </c>
      <c r="Q133" s="48">
        <f t="shared" si="49"/>
        <v>0</v>
      </c>
      <c r="R133" s="48">
        <f t="shared" si="50"/>
        <v>0</v>
      </c>
      <c r="S133" s="48">
        <f t="shared" si="51"/>
        <v>0</v>
      </c>
      <c r="T133" s="72">
        <f>IF(E144="Freilos",3,IF(F133&gt;G133,3,0))</f>
        <v>0</v>
      </c>
      <c r="U133" s="72">
        <f t="shared" si="52"/>
        <v>0</v>
      </c>
      <c r="V133" s="60">
        <f>IF(Spielereingabe!F10="","",2)</f>
      </c>
      <c r="W133" s="61">
        <f>IF(SP128!V133="","",Spielereingabe!F10)</f>
      </c>
      <c r="X133" s="61">
        <f>IF(SP128!V133="","",Spielereingabe!G10)</f>
      </c>
      <c r="Y133" s="61">
        <f>IF(SP128!V133="","",Spielereingabe!H10)</f>
      </c>
      <c r="Z133" s="61">
        <f>IF(SP128!V133="","",Spielereingabe!I10)</f>
      </c>
      <c r="AA133" s="62">
        <f>IF(SP128!V133="","",SP128!X4)</f>
      </c>
      <c r="AB133" s="62">
        <f>IF(SP128!V133="","",SP128!Z4)</f>
      </c>
      <c r="AC133" s="62">
        <f>IF(SP128!V133="","",SP128!AA4)</f>
      </c>
      <c r="AD133" s="62">
        <f>IF(SP128!V133="","",SP128!AC4)</f>
      </c>
      <c r="AE133" s="62">
        <f>IF(SP128!V133="","",SP128!AD4)</f>
      </c>
      <c r="AF133" s="235">
        <f>IF(SP128!V133="","",SP128!AE4)</f>
      </c>
      <c r="AG133" s="240"/>
      <c r="AH133" s="241"/>
      <c r="AM133" s="127"/>
      <c r="AO133" s="127"/>
      <c r="AP133" s="127"/>
      <c r="AQ133" s="127"/>
      <c r="AR133" s="127"/>
    </row>
    <row r="134" spans="3:44" ht="10.5" thickBot="1">
      <c r="C134" s="74">
        <v>132</v>
      </c>
      <c r="D134" s="96" t="str">
        <f>IF(D70="Verlierer 7","Sieger 68",IF(E70="Verlierer 8","Sieger 68",IF(D70=E70,"Freilos",IF(E70="Freilos",D70,IF(D70="Freilos",E70,IF(F70&gt;G70,D70,IF(G70&gt;F70,E70,"Sieger 68")))))))</f>
        <v>Sieger 68</v>
      </c>
      <c r="E134" s="97" t="str">
        <f>IF(D111="Sieger 25","Verlierer 109",IF(E111="Sieger 26","Verlierer 109",IF(D111=E111,"Freilos",IF(E111="Freilos",E111,IF(D111="Freilos",D111,IF(F111&gt;G111,E111,IF(G111&gt;F111,D111,"Verlierer 109")))))))</f>
        <v>Verlierer 109</v>
      </c>
      <c r="F134" s="128"/>
      <c r="G134" s="99"/>
      <c r="H134" s="100"/>
      <c r="I134" s="100"/>
      <c r="J134" s="100"/>
      <c r="K134" s="101"/>
      <c r="L134" s="71"/>
      <c r="M134" s="95">
        <f t="shared" si="45"/>
      </c>
      <c r="N134" s="48">
        <f t="shared" si="46"/>
        <v>0</v>
      </c>
      <c r="O134" s="48">
        <f t="shared" si="47"/>
        <v>0</v>
      </c>
      <c r="P134" s="48">
        <f t="shared" si="48"/>
        <v>0</v>
      </c>
      <c r="Q134" s="48">
        <f t="shared" si="49"/>
        <v>0</v>
      </c>
      <c r="R134" s="48">
        <f t="shared" si="50"/>
        <v>0</v>
      </c>
      <c r="S134" s="48">
        <f t="shared" si="51"/>
        <v>0</v>
      </c>
      <c r="T134" s="72">
        <f>IF(E143="Freilos",3,IF(F134&gt;G134,3,0))</f>
        <v>0</v>
      </c>
      <c r="U134" s="72">
        <f t="shared" si="52"/>
        <v>0</v>
      </c>
      <c r="V134" s="60">
        <f>IF(Spielereingabe!F11="","",3)</f>
      </c>
      <c r="W134" s="61">
        <f>IF(SP128!V134="","",Spielereingabe!F11)</f>
      </c>
      <c r="X134" s="61">
        <f>IF(SP128!V134="","",Spielereingabe!G11)</f>
      </c>
      <c r="Y134" s="61">
        <f>IF(SP128!V134="","",Spielereingabe!H11)</f>
      </c>
      <c r="Z134" s="61">
        <f>IF(SP128!V134="","",Spielereingabe!I11)</f>
      </c>
      <c r="AA134" s="62">
        <f>IF(SP128!V134="","",SP128!X5)</f>
      </c>
      <c r="AB134" s="62">
        <f>IF(SP128!V134="","",SP128!Z5)</f>
      </c>
      <c r="AC134" s="62">
        <f>IF(SP128!V134="","",SP128!AA5)</f>
      </c>
      <c r="AD134" s="62">
        <f>IF(SP128!V134="","",SP128!AC5)</f>
      </c>
      <c r="AE134" s="62">
        <f>IF(SP128!V134="","",SP128!AD5)</f>
      </c>
      <c r="AF134" s="235">
        <f>IF(SP128!V134="","",SP128!AE5)</f>
      </c>
      <c r="AG134" s="240"/>
      <c r="AH134" s="241"/>
      <c r="AM134" s="127"/>
      <c r="AO134" s="127"/>
      <c r="AP134" s="127"/>
      <c r="AQ134" s="127"/>
      <c r="AR134" s="127"/>
    </row>
    <row r="135" spans="3:44" ht="10.5" thickBot="1">
      <c r="C135" s="74">
        <v>133</v>
      </c>
      <c r="D135" s="96" t="str">
        <f>IF(D71="Verlierer 9","Sieger 69",IF(E71="Verlierer 10","Sieger 69",IF(D71=E71,"Freilos",IF(E71="Freilos",D71,IF(D71="Freilos",E71,IF(F71&gt;G71,D71,IF(G71&gt;F71,E71,"Sieger 69")))))))</f>
        <v>Sieger 69</v>
      </c>
      <c r="E135" s="97" t="str">
        <f>IF(D110="Sieger 23","Verlierer 108",IF(E110="Sieger 24","Verlierer 108",IF(D110=E110,"Freilos",IF(E110="Freilos",E110,IF(D110="Freilos",D110,IF(F110&gt;G110,E110,IF(G110&gt;F110,D110,"Verlierer 108")))))))</f>
        <v>Verlierer 108</v>
      </c>
      <c r="F135" s="128"/>
      <c r="G135" s="99"/>
      <c r="H135" s="100"/>
      <c r="I135" s="100"/>
      <c r="J135" s="100"/>
      <c r="K135" s="101"/>
      <c r="L135" s="71"/>
      <c r="M135" s="95">
        <f t="shared" si="45"/>
      </c>
      <c r="N135" s="48">
        <f t="shared" si="46"/>
        <v>0</v>
      </c>
      <c r="O135" s="48">
        <f t="shared" si="47"/>
        <v>0</v>
      </c>
      <c r="P135" s="48">
        <f t="shared" si="48"/>
        <v>0</v>
      </c>
      <c r="Q135" s="48">
        <f t="shared" si="49"/>
        <v>0</v>
      </c>
      <c r="R135" s="48">
        <f t="shared" si="50"/>
        <v>0</v>
      </c>
      <c r="S135" s="48">
        <f t="shared" si="51"/>
        <v>0</v>
      </c>
      <c r="T135" s="72">
        <f>IF(E142="Freilos",3,IF(F135&gt;G135,3,0))</f>
        <v>0</v>
      </c>
      <c r="U135" s="72">
        <f t="shared" si="52"/>
        <v>0</v>
      </c>
      <c r="V135" s="60">
        <f>IF(Spielereingabe!F12="","",4)</f>
      </c>
      <c r="W135" s="61">
        <f>IF(SP128!V135="","",Spielereingabe!F12)</f>
      </c>
      <c r="X135" s="61">
        <f>IF(SP128!V135="","",Spielereingabe!G12)</f>
      </c>
      <c r="Y135" s="61">
        <f>IF(SP128!V135="","",Spielereingabe!H12)</f>
      </c>
      <c r="Z135" s="61">
        <f>IF(SP128!V135="","",Spielereingabe!I12)</f>
      </c>
      <c r="AA135" s="62">
        <f>IF(SP128!V135="","",SP128!X6)</f>
      </c>
      <c r="AB135" s="62">
        <f>IF(SP128!V135="","",SP128!Z6)</f>
      </c>
      <c r="AC135" s="62">
        <f>IF(SP128!V135="","",SP128!AA6)</f>
      </c>
      <c r="AD135" s="62">
        <f>IF(SP128!V135="","",SP128!AC6)</f>
      </c>
      <c r="AE135" s="62">
        <f>IF(SP128!V135="","",SP128!AD6)</f>
      </c>
      <c r="AF135" s="235">
        <f>IF(SP128!V135="","",SP128!AE6)</f>
      </c>
      <c r="AG135" s="240"/>
      <c r="AH135" s="241"/>
      <c r="AM135" s="127"/>
      <c r="AO135" s="127"/>
      <c r="AP135" s="127"/>
      <c r="AQ135" s="127"/>
      <c r="AR135" s="127"/>
    </row>
    <row r="136" spans="3:44" ht="10.5" thickBot="1">
      <c r="C136" s="74">
        <v>134</v>
      </c>
      <c r="D136" s="96" t="str">
        <f>IF(D72="Verlierer 11","Sieger 70",IF(E72="Verlierer 12","Sieger 70",IF(D72=E72,"Freilos",IF(E72="Freilos",D72,IF(D72="Freilos",E72,IF(F72&gt;G72,D72,IF(G72&gt;F72,E72,"Sieger 70")))))))</f>
        <v>Sieger 70</v>
      </c>
      <c r="E136" s="97" t="str">
        <f>IF(D109="Sieger 21","Verlierer 107",IF(E109="Sieger 22","Verlierer 107",IF(D109=E109,"Freilos",IF(E109="Freilos",E109,IF(D109="Freilos",D109,IF(F109&gt;G109,E109,IF(G109&gt;F109,D109,"Verlierer 107")))))))</f>
        <v>Verlierer 107</v>
      </c>
      <c r="F136" s="128"/>
      <c r="G136" s="99"/>
      <c r="H136" s="100"/>
      <c r="I136" s="100"/>
      <c r="J136" s="100"/>
      <c r="K136" s="101"/>
      <c r="L136" s="71"/>
      <c r="M136" s="95">
        <f t="shared" si="45"/>
      </c>
      <c r="N136" s="48">
        <f t="shared" si="46"/>
        <v>0</v>
      </c>
      <c r="O136" s="48">
        <f t="shared" si="47"/>
        <v>0</v>
      </c>
      <c r="P136" s="48">
        <f t="shared" si="48"/>
        <v>0</v>
      </c>
      <c r="Q136" s="48">
        <f t="shared" si="49"/>
        <v>0</v>
      </c>
      <c r="R136" s="48">
        <f t="shared" si="50"/>
        <v>0</v>
      </c>
      <c r="S136" s="48">
        <f t="shared" si="51"/>
        <v>0</v>
      </c>
      <c r="T136" s="72">
        <f>IF(E141="Freilos",3,IF(F136&gt;G136,3,0))</f>
        <v>0</v>
      </c>
      <c r="U136" s="72">
        <f t="shared" si="52"/>
        <v>0</v>
      </c>
      <c r="V136" s="60">
        <f>IF(Spielereingabe!F13="","",5)</f>
      </c>
      <c r="W136" s="61">
        <f>IF(SP128!V136="","",Spielereingabe!F13)</f>
      </c>
      <c r="X136" s="61">
        <f>IF(SP128!V136="","",Spielereingabe!G13)</f>
      </c>
      <c r="Y136" s="61">
        <f>IF(SP128!V136="","",Spielereingabe!H13)</f>
      </c>
      <c r="Z136" s="61">
        <f>IF(SP128!V136="","",Spielereingabe!I13)</f>
      </c>
      <c r="AA136" s="62">
        <f>IF(SP128!V136="","",SP128!X7)</f>
      </c>
      <c r="AB136" s="62">
        <f>IF(SP128!V136="","",SP128!Z7)</f>
      </c>
      <c r="AC136" s="62">
        <f>IF(SP128!V136="","",SP128!AA7)</f>
      </c>
      <c r="AD136" s="62">
        <f>IF(SP128!V136="","",SP128!AC7)</f>
      </c>
      <c r="AE136" s="62">
        <f>IF(SP128!V136="","",SP128!AD7)</f>
      </c>
      <c r="AF136" s="235">
        <f>IF(SP128!V136="","",SP128!AE7)</f>
      </c>
      <c r="AG136" s="240"/>
      <c r="AH136" s="241"/>
      <c r="AM136" s="127"/>
      <c r="AO136" s="127"/>
      <c r="AP136" s="127"/>
      <c r="AQ136" s="127"/>
      <c r="AR136" s="127"/>
    </row>
    <row r="137" spans="3:44" ht="10.5" thickBot="1">
      <c r="C137" s="74">
        <v>135</v>
      </c>
      <c r="D137" s="96" t="str">
        <f>IF(D73="Verlierer 13","Sieger 71",IF(E73="Verlierer 14","Sieger 71",IF(D73=E73,"Freilos",IF(E73="Freilos",D73,IF(D73="Freilos",E73,IF(F73&gt;G73,D73,IF(G73&gt;F73,E73,"Sieger 71")))))))</f>
        <v>Sieger 71</v>
      </c>
      <c r="E137" s="97" t="str">
        <f>IF(D108="Sieger 19","Verlierer 106",IF(E108="Sieger 20","Verlierer 106",IF(D108=E108,"Freilos",IF(E108="Freilos",E108,IF(D108="Freilos",D108,IF(F108&gt;G108,E108,IF(G108&gt;F108,D108,"Verlierer 106")))))))</f>
        <v>Verlierer 106</v>
      </c>
      <c r="F137" s="128"/>
      <c r="G137" s="99"/>
      <c r="H137" s="100"/>
      <c r="I137" s="100"/>
      <c r="J137" s="100"/>
      <c r="K137" s="101"/>
      <c r="L137" s="71"/>
      <c r="M137" s="95">
        <f t="shared" si="45"/>
      </c>
      <c r="N137" s="48">
        <f t="shared" si="46"/>
        <v>0</v>
      </c>
      <c r="O137" s="48">
        <f t="shared" si="47"/>
        <v>0</v>
      </c>
      <c r="P137" s="48">
        <f t="shared" si="48"/>
        <v>0</v>
      </c>
      <c r="Q137" s="48">
        <f t="shared" si="49"/>
        <v>0</v>
      </c>
      <c r="R137" s="48">
        <f t="shared" si="50"/>
        <v>0</v>
      </c>
      <c r="S137" s="48">
        <f t="shared" si="51"/>
        <v>0</v>
      </c>
      <c r="T137" s="72">
        <f>IF(E140="Freilos",3,IF(F137&gt;G137,3,0))</f>
        <v>0</v>
      </c>
      <c r="U137" s="72">
        <f t="shared" si="52"/>
        <v>0</v>
      </c>
      <c r="V137" s="60">
        <f>IF(Spielereingabe!F14="","",6)</f>
      </c>
      <c r="W137" s="61">
        <f>IF(SP128!V137="","",Spielereingabe!F14)</f>
      </c>
      <c r="X137" s="61">
        <f>IF(SP128!V137="","",Spielereingabe!G14)</f>
      </c>
      <c r="Y137" s="61">
        <f>IF(SP128!V137="","",Spielereingabe!H14)</f>
      </c>
      <c r="Z137" s="61">
        <f>IF(SP128!V137="","",Spielereingabe!I14)</f>
      </c>
      <c r="AA137" s="62">
        <f>IF(SP128!V137="","",SP128!X8)</f>
      </c>
      <c r="AB137" s="62">
        <f>IF(SP128!V137="","",SP128!Z8)</f>
      </c>
      <c r="AC137" s="62">
        <f>IF(SP128!V137="","",SP128!AA8)</f>
      </c>
      <c r="AD137" s="62">
        <f>IF(SP128!V137="","",SP128!AC8)</f>
      </c>
      <c r="AE137" s="62">
        <f>IF(SP128!V137="","",SP128!AD8)</f>
      </c>
      <c r="AF137" s="235">
        <f>IF(SP128!V137="","",SP128!AE8)</f>
      </c>
      <c r="AG137" s="240"/>
      <c r="AH137" s="241"/>
      <c r="AM137" s="127"/>
      <c r="AO137" s="127"/>
      <c r="AP137" s="127"/>
      <c r="AQ137" s="127"/>
      <c r="AR137" s="127"/>
    </row>
    <row r="138" spans="3:44" ht="10.5" thickBot="1">
      <c r="C138" s="74">
        <v>136</v>
      </c>
      <c r="D138" s="96" t="str">
        <f>IF(D74="Verlierer 15","Sieger 72",IF(E74="Verlierer 16","Sieger 72",IF(D74=E74,"Freilos",IF(E74="Freilos",D74,IF(D74="Freilos",E74,IF(F74&gt;G74,D74,IF(G74&gt;F74,E74,"Sieger 72")))))))</f>
        <v>Sieger 72</v>
      </c>
      <c r="E138" s="97" t="str">
        <f>IF(D107="Sieger 17","Verlierer 105",IF(E107="Sieger 18","Verlierer 105",IF(D107=E107,"Freilos",IF(E107="Freilos",E107,IF(D107="Freilos",D107,IF(F107&gt;G107,E107,IF(G107&gt;F107,D107,"Verlierer 105")))))))</f>
        <v>Verlierer 105</v>
      </c>
      <c r="F138" s="128"/>
      <c r="G138" s="99"/>
      <c r="H138" s="100"/>
      <c r="I138" s="100"/>
      <c r="J138" s="100"/>
      <c r="K138" s="101"/>
      <c r="L138" s="71"/>
      <c r="M138" s="95">
        <f t="shared" si="45"/>
      </c>
      <c r="N138" s="48">
        <f t="shared" si="46"/>
        <v>0</v>
      </c>
      <c r="O138" s="48">
        <f t="shared" si="47"/>
        <v>0</v>
      </c>
      <c r="P138" s="48">
        <f t="shared" si="48"/>
        <v>0</v>
      </c>
      <c r="Q138" s="48">
        <f t="shared" si="49"/>
        <v>0</v>
      </c>
      <c r="R138" s="48">
        <f t="shared" si="50"/>
        <v>0</v>
      </c>
      <c r="S138" s="48">
        <f t="shared" si="51"/>
        <v>0</v>
      </c>
      <c r="T138" s="72">
        <f>IF(E139="Freilos",3,IF(F138&gt;G138,3,0))</f>
        <v>0</v>
      </c>
      <c r="U138" s="72">
        <f t="shared" si="52"/>
        <v>0</v>
      </c>
      <c r="V138" s="60">
        <f>IF(Spielereingabe!F15="","",7)</f>
      </c>
      <c r="W138" s="61">
        <f>IF(SP128!V138="","",Spielereingabe!F15)</f>
      </c>
      <c r="X138" s="61">
        <f>IF(SP128!V138="","",Spielereingabe!G15)</f>
      </c>
      <c r="Y138" s="61">
        <f>IF(SP128!V138="","",Spielereingabe!H15)</f>
      </c>
      <c r="Z138" s="61">
        <f>IF(SP128!V138="","",Spielereingabe!I15)</f>
      </c>
      <c r="AA138" s="62">
        <f>IF(SP128!V138="","",SP128!X9)</f>
      </c>
      <c r="AB138" s="62">
        <f>IF(SP128!V138="","",SP128!Z9)</f>
      </c>
      <c r="AC138" s="62">
        <f>IF(SP128!V138="","",SP128!AA9)</f>
      </c>
      <c r="AD138" s="62">
        <f>IF(SP128!V138="","",SP128!AC9)</f>
      </c>
      <c r="AE138" s="62">
        <f>IF(SP128!V138="","",SP128!AD9)</f>
      </c>
      <c r="AF138" s="235">
        <f>IF(SP128!V138="","",SP128!AE9)</f>
      </c>
      <c r="AG138" s="240"/>
      <c r="AH138" s="241"/>
      <c r="AM138" s="127"/>
      <c r="AO138" s="127"/>
      <c r="AP138" s="127"/>
      <c r="AQ138" s="127"/>
      <c r="AR138" s="127"/>
    </row>
    <row r="139" spans="3:44" ht="10.5" thickBot="1">
      <c r="C139" s="74">
        <v>137</v>
      </c>
      <c r="D139" s="96" t="str">
        <f>IF(D75="Verlierer 17","Sieger 73",IF(E75="Verlierer 18","Sieger 73",IF(D75=E75,"Freilos",IF(E75="Freilos",D75,IF(D75="Freilos",E75,IF(F75&gt;G75,D75,IF(G75&gt;F75,E75,"Sieger 73")))))))</f>
        <v>Sieger 73</v>
      </c>
      <c r="E139" s="97" t="str">
        <f>IF(D106="Sieger 15","Verlierer 104",IF(E106="Sieger 16","Verlierer 104",IF(D106=E106,"Freilos",IF(E106="Freilos",E106,IF(D106="Freilos",D106,IF(F106&gt;G106,E106,IF(G106&gt;F106,D106,"Verlierer 104")))))))</f>
        <v>Verlierer 104</v>
      </c>
      <c r="F139" s="128"/>
      <c r="G139" s="99"/>
      <c r="H139" s="100"/>
      <c r="I139" s="100"/>
      <c r="J139" s="100"/>
      <c r="K139" s="101"/>
      <c r="L139" s="71"/>
      <c r="M139" s="95">
        <f t="shared" si="45"/>
      </c>
      <c r="N139" s="48">
        <f t="shared" si="46"/>
        <v>0</v>
      </c>
      <c r="O139" s="48">
        <f t="shared" si="47"/>
        <v>0</v>
      </c>
      <c r="P139" s="48">
        <f t="shared" si="48"/>
        <v>0</v>
      </c>
      <c r="Q139" s="48">
        <f t="shared" si="49"/>
        <v>0</v>
      </c>
      <c r="R139" s="48">
        <f t="shared" si="50"/>
        <v>0</v>
      </c>
      <c r="S139" s="48">
        <f t="shared" si="51"/>
        <v>0</v>
      </c>
      <c r="T139" s="72">
        <f>IF(E138="Freilos",3,IF(F139&gt;G139,3,0))</f>
        <v>0</v>
      </c>
      <c r="U139" s="72">
        <f t="shared" si="52"/>
        <v>0</v>
      </c>
      <c r="V139" s="60">
        <f>IF(Spielereingabe!F16="","",8)</f>
      </c>
      <c r="W139" s="61">
        <f>IF(SP128!V139="","",Spielereingabe!F16)</f>
      </c>
      <c r="X139" s="61">
        <f>IF(SP128!V139="","",Spielereingabe!G16)</f>
      </c>
      <c r="Y139" s="61">
        <f>IF(SP128!V139="","",Spielereingabe!H16)</f>
      </c>
      <c r="Z139" s="61">
        <f>IF(SP128!V139="","",Spielereingabe!I16)</f>
      </c>
      <c r="AA139" s="62">
        <f>IF(SP128!V139="","",SP128!X10)</f>
      </c>
      <c r="AB139" s="62">
        <f>IF(SP128!V139="","",SP128!Z10)</f>
      </c>
      <c r="AC139" s="62">
        <f>IF(SP128!V139="","",SP128!AA10)</f>
      </c>
      <c r="AD139" s="62">
        <f>IF(SP128!V139="","",SP128!AC10)</f>
      </c>
      <c r="AE139" s="62">
        <f>IF(SP128!V139="","",SP128!AD10)</f>
      </c>
      <c r="AF139" s="235">
        <f>IF(SP128!V139="","",SP128!AE10)</f>
      </c>
      <c r="AG139" s="240"/>
      <c r="AH139" s="241"/>
      <c r="AM139" s="127"/>
      <c r="AO139" s="127"/>
      <c r="AP139" s="127"/>
      <c r="AQ139" s="127"/>
      <c r="AR139" s="127"/>
    </row>
    <row r="140" spans="3:44" ht="10.5" thickBot="1">
      <c r="C140" s="74">
        <v>138</v>
      </c>
      <c r="D140" s="96" t="str">
        <f>IF(D76="Verlierer 19","Sieger 74",IF(E76="Verlierer 20","Sieger 74",IF(D76=E76,"Freilos",IF(E76="Freilos",D76,IF(D76="Freilos",E76,IF(F76&gt;G76,D76,IF(G76&gt;F76,E76,"Sieger 74")))))))</f>
        <v>Sieger 74</v>
      </c>
      <c r="E140" s="97" t="str">
        <f>IF(D105="Sieger 13","Verlierer 103",IF(E105="Sieger 14","Verlierer 103",IF(D105=E105,"Freilos",IF(E105="Freilos",E105,IF(D105="Freilos",D105,IF(F105&gt;G105,E105,IF(G105&gt;F105,D105,"Verlierer 103")))))))</f>
        <v>Verlierer 103</v>
      </c>
      <c r="F140" s="128"/>
      <c r="G140" s="99"/>
      <c r="H140" s="100"/>
      <c r="I140" s="100"/>
      <c r="J140" s="100"/>
      <c r="K140" s="101"/>
      <c r="L140" s="71"/>
      <c r="M140" s="95">
        <f t="shared" si="45"/>
      </c>
      <c r="N140" s="48">
        <f t="shared" si="46"/>
        <v>0</v>
      </c>
      <c r="O140" s="48">
        <f t="shared" si="47"/>
        <v>0</v>
      </c>
      <c r="P140" s="48">
        <f t="shared" si="48"/>
        <v>0</v>
      </c>
      <c r="Q140" s="48">
        <f t="shared" si="49"/>
        <v>0</v>
      </c>
      <c r="R140" s="48">
        <f t="shared" si="50"/>
        <v>0</v>
      </c>
      <c r="S140" s="48">
        <f t="shared" si="51"/>
        <v>0</v>
      </c>
      <c r="T140" s="72">
        <f>IF(E137="Freilos",3,IF(F140&gt;G140,3,0))</f>
        <v>0</v>
      </c>
      <c r="U140" s="72">
        <f t="shared" si="52"/>
        <v>0</v>
      </c>
      <c r="V140" s="60">
        <f>IF(Spielereingabe!F17="","",9)</f>
      </c>
      <c r="W140" s="61">
        <f>IF(SP128!V140="","",Spielereingabe!F17)</f>
      </c>
      <c r="X140" s="61">
        <f>IF(SP128!V140="","",Spielereingabe!G17)</f>
      </c>
      <c r="Y140" s="61">
        <f>IF(SP128!V140="","",Spielereingabe!H17)</f>
      </c>
      <c r="Z140" s="61">
        <f>IF(SP128!V140="","",Spielereingabe!I17)</f>
      </c>
      <c r="AA140" s="62">
        <f>IF(SP128!V140="","",SP128!X11)</f>
      </c>
      <c r="AB140" s="62">
        <f>IF(SP128!V140="","",SP128!Z11)</f>
      </c>
      <c r="AC140" s="62">
        <f>IF(SP128!V140="","",SP128!AA11)</f>
      </c>
      <c r="AD140" s="62">
        <f>IF(SP128!V140="","",SP128!AC11)</f>
      </c>
      <c r="AE140" s="62">
        <f>IF(SP128!V140="","",SP128!AD11)</f>
      </c>
      <c r="AF140" s="235">
        <f>IF(SP128!V140="","",SP128!AE11)</f>
      </c>
      <c r="AG140" s="240"/>
      <c r="AH140" s="241"/>
      <c r="AM140" s="127"/>
      <c r="AO140" s="127"/>
      <c r="AP140" s="127"/>
      <c r="AQ140" s="127"/>
      <c r="AR140" s="127"/>
    </row>
    <row r="141" spans="3:44" ht="10.5" thickBot="1">
      <c r="C141" s="74">
        <v>139</v>
      </c>
      <c r="D141" s="96" t="str">
        <f>IF(D77="Verlierer 21","Sieger 75",IF(E77="Verlierer 22","Sieger 75",IF(D77=E77,"Freilos",IF(E77="Freilos",D77,IF(D77="Freilos",E77,IF(F77&gt;G77,D77,IF(G77&gt;F77,E77,"Sieger 75")))))))</f>
        <v>Sieger 75</v>
      </c>
      <c r="E141" s="97" t="str">
        <f>IF(D104="Sieger 11","Verlierer 102",IF(E104="Sieger 12","Verlierer 102",IF(D104=E104,"Freilos",IF(E104="Freilos",E104,IF(D104="Freilos",D104,IF(F104&gt;G104,E104,IF(G104&gt;F104,D104,"Verlierer 102")))))))</f>
        <v>Verlierer 102</v>
      </c>
      <c r="F141" s="128"/>
      <c r="G141" s="99"/>
      <c r="H141" s="100"/>
      <c r="I141" s="100"/>
      <c r="J141" s="100"/>
      <c r="K141" s="101"/>
      <c r="L141" s="71"/>
      <c r="M141" s="95">
        <f t="shared" si="45"/>
      </c>
      <c r="N141" s="48">
        <f t="shared" si="46"/>
        <v>0</v>
      </c>
      <c r="O141" s="48">
        <f t="shared" si="47"/>
        <v>0</v>
      </c>
      <c r="P141" s="48">
        <f t="shared" si="48"/>
        <v>0</v>
      </c>
      <c r="Q141" s="48">
        <f t="shared" si="49"/>
        <v>0</v>
      </c>
      <c r="R141" s="48">
        <f t="shared" si="50"/>
        <v>0</v>
      </c>
      <c r="S141" s="48">
        <f t="shared" si="51"/>
        <v>0</v>
      </c>
      <c r="T141" s="72">
        <f>IF(E136="Freilos",3,IF(F141&gt;G141,3,0))</f>
        <v>0</v>
      </c>
      <c r="U141" s="72">
        <f t="shared" si="52"/>
        <v>0</v>
      </c>
      <c r="V141" s="60">
        <f>IF(Spielereingabe!F18="","",10)</f>
      </c>
      <c r="W141" s="61">
        <f>IF(SP128!V141="","",Spielereingabe!F18)</f>
      </c>
      <c r="X141" s="61">
        <f>IF(SP128!V141="","",Spielereingabe!G18)</f>
      </c>
      <c r="Y141" s="61">
        <f>IF(SP128!V141="","",Spielereingabe!H18)</f>
      </c>
      <c r="Z141" s="61">
        <f>IF(SP128!V141="","",Spielereingabe!I18)</f>
      </c>
      <c r="AA141" s="62">
        <f>IF(SP128!V141="","",SP128!X12)</f>
      </c>
      <c r="AB141" s="62">
        <f>IF(SP128!V141="","",SP128!Z12)</f>
      </c>
      <c r="AC141" s="62">
        <f>IF(SP128!V141="","",SP128!AA12)</f>
      </c>
      <c r="AD141" s="62">
        <f>IF(SP128!V141="","",SP128!AC12)</f>
      </c>
      <c r="AE141" s="62">
        <f>IF(SP128!V141="","",SP128!AD12)</f>
      </c>
      <c r="AF141" s="235">
        <f>IF(SP128!V141="","",SP128!AE12)</f>
      </c>
      <c r="AG141" s="240"/>
      <c r="AH141" s="241"/>
      <c r="AM141" s="127"/>
      <c r="AO141" s="127"/>
      <c r="AP141" s="127"/>
      <c r="AQ141" s="127"/>
      <c r="AR141" s="127"/>
    </row>
    <row r="142" spans="3:44" ht="10.5" thickBot="1">
      <c r="C142" s="74">
        <v>140</v>
      </c>
      <c r="D142" s="96" t="str">
        <f>IF(D78="Verlierer 23","Sieger 76",IF(E78="Verlierer 24","Sieger 76",IF(D78=E78,"Freilos",IF(E78="Freilos",D78,IF(D78="Freilos",E78,IF(F78&gt;G78,D78,IF(G78&gt;F78,E78,"Sieger 76")))))))</f>
        <v>Sieger 76</v>
      </c>
      <c r="E142" s="97" t="str">
        <f>IF(D103="Sieger 9","Verlierer 101",IF(E103="Sieger 10","Verlierer 101",IF(D103=E103,"Freilos",IF(E103="Freilos",E103,IF(D103="Freilos",D103,IF(F103&gt;G103,E103,IF(G103&gt;F103,D103,"Verlierer 101")))))))</f>
        <v>Verlierer 101</v>
      </c>
      <c r="F142" s="128"/>
      <c r="G142" s="99"/>
      <c r="H142" s="100"/>
      <c r="I142" s="100"/>
      <c r="J142" s="100"/>
      <c r="K142" s="101"/>
      <c r="L142" s="71"/>
      <c r="M142" s="95">
        <f t="shared" si="45"/>
      </c>
      <c r="N142" s="48">
        <f t="shared" si="46"/>
        <v>0</v>
      </c>
      <c r="O142" s="48">
        <f t="shared" si="47"/>
        <v>0</v>
      </c>
      <c r="P142" s="48">
        <f t="shared" si="48"/>
        <v>0</v>
      </c>
      <c r="Q142" s="48">
        <f t="shared" si="49"/>
        <v>0</v>
      </c>
      <c r="R142" s="48">
        <f t="shared" si="50"/>
        <v>0</v>
      </c>
      <c r="S142" s="48">
        <f t="shared" si="51"/>
        <v>0</v>
      </c>
      <c r="T142" s="72">
        <f>IF(E135="Freilos",3,IF(F142&gt;G142,3,0))</f>
        <v>0</v>
      </c>
      <c r="U142" s="72">
        <f t="shared" si="52"/>
        <v>0</v>
      </c>
      <c r="V142" s="60">
        <f>IF(Spielereingabe!F19="","",11)</f>
      </c>
      <c r="W142" s="61">
        <f>IF(SP128!V142="","",Spielereingabe!F19)</f>
      </c>
      <c r="X142" s="61">
        <f>IF(SP128!V142="","",Spielereingabe!G19)</f>
      </c>
      <c r="Y142" s="61">
        <f>IF(SP128!V142="","",Spielereingabe!H19)</f>
      </c>
      <c r="Z142" s="61">
        <f>IF(SP128!V142="","",Spielereingabe!I19)</f>
      </c>
      <c r="AA142" s="62">
        <f>IF(SP128!V142="","",SP128!X13)</f>
      </c>
      <c r="AB142" s="62">
        <f>IF(SP128!V142="","",SP128!Z13)</f>
      </c>
      <c r="AC142" s="62">
        <f>IF(SP128!V142="","",SP128!AA13)</f>
      </c>
      <c r="AD142" s="62">
        <f>IF(SP128!V142="","",SP128!AC13)</f>
      </c>
      <c r="AE142" s="62">
        <f>IF(SP128!V142="","",SP128!AD13)</f>
      </c>
      <c r="AF142" s="235">
        <f>IF(SP128!V142="","",SP128!AE13)</f>
      </c>
      <c r="AG142" s="240"/>
      <c r="AH142" s="241"/>
      <c r="AM142" s="127"/>
      <c r="AO142" s="127"/>
      <c r="AP142" s="127"/>
      <c r="AQ142" s="127"/>
      <c r="AR142" s="127"/>
    </row>
    <row r="143" spans="3:44" ht="10.5" thickBot="1">
      <c r="C143" s="74">
        <v>141</v>
      </c>
      <c r="D143" s="96" t="str">
        <f>IF(D79="Verlierer 25","Sieger 77",IF(E79="Verlierer 26","Sieger 77",IF(D79=E79,"Freilos",IF(E79="Freilos",D79,IF(D79="Freilos",E79,IF(F79&gt;G79,D79,IF(G79&gt;F79,E79,"Sieger 77")))))))</f>
        <v>Sieger 77</v>
      </c>
      <c r="E143" s="97" t="str">
        <f>IF(D102="Sieger 7","Verlierer 100",IF(E102="Sieger 8","Verlierer 100",IF(D102=E102,"Freilos",IF(E102="Freilos",E102,IF(D102="Freilos",D102,IF(F102&gt;G102,E102,IF(G102&gt;F102,D102,"Verlierer 100")))))))</f>
        <v>Verlierer 100</v>
      </c>
      <c r="F143" s="128"/>
      <c r="G143" s="99"/>
      <c r="H143" s="100"/>
      <c r="I143" s="100"/>
      <c r="J143" s="100"/>
      <c r="K143" s="101"/>
      <c r="L143" s="71"/>
      <c r="M143" s="95">
        <f t="shared" si="45"/>
      </c>
      <c r="N143" s="48">
        <f t="shared" si="46"/>
        <v>0</v>
      </c>
      <c r="O143" s="48">
        <f t="shared" si="47"/>
        <v>0</v>
      </c>
      <c r="P143" s="48">
        <f t="shared" si="48"/>
        <v>0</v>
      </c>
      <c r="Q143" s="48">
        <f t="shared" si="49"/>
        <v>0</v>
      </c>
      <c r="R143" s="48">
        <f t="shared" si="50"/>
        <v>0</v>
      </c>
      <c r="S143" s="48">
        <f t="shared" si="51"/>
        <v>0</v>
      </c>
      <c r="T143" s="72">
        <f>IF(E134="Freilos",3,IF(F143&gt;G143,3,0))</f>
        <v>0</v>
      </c>
      <c r="U143" s="72">
        <f t="shared" si="52"/>
        <v>0</v>
      </c>
      <c r="V143" s="60">
        <f>IF(Spielereingabe!F20="","",12)</f>
      </c>
      <c r="W143" s="61">
        <f>IF(SP128!V143="","",Spielereingabe!F20)</f>
      </c>
      <c r="X143" s="61">
        <f>IF(SP128!V143="","",Spielereingabe!G20)</f>
      </c>
      <c r="Y143" s="61">
        <f>IF(SP128!V143="","",Spielereingabe!H20)</f>
      </c>
      <c r="Z143" s="61">
        <f>IF(SP128!V143="","",Spielereingabe!I20)</f>
      </c>
      <c r="AA143" s="62">
        <f>IF(SP128!V143="","",SP128!X14)</f>
      </c>
      <c r="AB143" s="62">
        <f>IF(SP128!V143="","",SP128!Z14)</f>
      </c>
      <c r="AC143" s="62">
        <f>IF(SP128!V143="","",SP128!AA14)</f>
      </c>
      <c r="AD143" s="62">
        <f>IF(SP128!V143="","",SP128!AC14)</f>
      </c>
      <c r="AE143" s="62">
        <f>IF(SP128!V143="","",SP128!AD14)</f>
      </c>
      <c r="AF143" s="235">
        <f>IF(SP128!V143="","",SP128!AE14)</f>
      </c>
      <c r="AG143" s="240"/>
      <c r="AH143" s="241"/>
      <c r="AM143" s="127"/>
      <c r="AO143" s="127"/>
      <c r="AP143" s="127"/>
      <c r="AQ143" s="127"/>
      <c r="AR143" s="127"/>
    </row>
    <row r="144" spans="3:44" ht="10.5" thickBot="1">
      <c r="C144" s="74">
        <v>142</v>
      </c>
      <c r="D144" s="96" t="str">
        <f>IF(D80="Verlierer 27","Sieger 78",IF(E80="Verlierer 28","Sieger 78",IF(D80=E80,"Freilos",IF(E80="Freilos",D80,IF(D80="Freilos",E80,IF(F80&gt;G80,D80,IF(G80&gt;F80,E80,"Sieger 78")))))))</f>
        <v>Sieger 78</v>
      </c>
      <c r="E144" s="97" t="str">
        <f>IF(D101="Sieger 5","Verlierer 99",IF(E101="Sieger 6","Verlierer 99",IF(D101=E101,"Freilos",IF(E101="Freilos",E101,IF(D101="Freilos",D101,IF(F101&gt;G101,E101,IF(G101&gt;F101,D101,"Verlierer 99")))))))</f>
        <v>Verlierer 99</v>
      </c>
      <c r="F144" s="128"/>
      <c r="G144" s="99"/>
      <c r="H144" s="100"/>
      <c r="I144" s="100"/>
      <c r="J144" s="100"/>
      <c r="K144" s="101"/>
      <c r="L144" s="71"/>
      <c r="M144" s="95">
        <f t="shared" si="45"/>
      </c>
      <c r="N144" s="48">
        <f t="shared" si="46"/>
        <v>0</v>
      </c>
      <c r="O144" s="48">
        <f t="shared" si="47"/>
        <v>0</v>
      </c>
      <c r="P144" s="48">
        <f t="shared" si="48"/>
        <v>0</v>
      </c>
      <c r="Q144" s="48">
        <f t="shared" si="49"/>
        <v>0</v>
      </c>
      <c r="R144" s="48">
        <f t="shared" si="50"/>
        <v>0</v>
      </c>
      <c r="S144" s="48">
        <f t="shared" si="51"/>
        <v>0</v>
      </c>
      <c r="T144" s="72">
        <f>IF(E133="Freilos",3,IF(F144&gt;G144,3,0))</f>
        <v>0</v>
      </c>
      <c r="U144" s="72">
        <f t="shared" si="52"/>
        <v>0</v>
      </c>
      <c r="V144" s="60">
        <f>IF(Spielereingabe!F21="","",13)</f>
      </c>
      <c r="W144" s="61">
        <f>IF(SP128!V144="","",Spielereingabe!F21)</f>
      </c>
      <c r="X144" s="61">
        <f>IF(SP128!V144="","",Spielereingabe!G21)</f>
      </c>
      <c r="Y144" s="61">
        <f>IF(SP128!V144="","",Spielereingabe!H21)</f>
      </c>
      <c r="Z144" s="61">
        <f>IF(SP128!V144="","",Spielereingabe!I21)</f>
      </c>
      <c r="AA144" s="62">
        <f>IF(SP128!V144="","",SP128!X15)</f>
      </c>
      <c r="AB144" s="62">
        <f>IF(SP128!V144="","",SP128!Z15)</f>
      </c>
      <c r="AC144" s="62">
        <f>IF(SP128!V144="","",SP128!AA15)</f>
      </c>
      <c r="AD144" s="62">
        <f>IF(SP128!V144="","",SP128!AC15)</f>
      </c>
      <c r="AE144" s="62">
        <f>IF(SP128!V144="","",SP128!AD15)</f>
      </c>
      <c r="AF144" s="235">
        <f>IF(SP128!V144="","",SP128!AE15)</f>
      </c>
      <c r="AG144" s="240"/>
      <c r="AH144" s="241"/>
      <c r="AM144" s="127"/>
      <c r="AO144" s="127"/>
      <c r="AP144" s="127"/>
      <c r="AQ144" s="127"/>
      <c r="AR144" s="127"/>
    </row>
    <row r="145" spans="3:44" ht="10.5" thickBot="1">
      <c r="C145" s="74">
        <v>143</v>
      </c>
      <c r="D145" s="96" t="str">
        <f>IF(D81="Verlierer 29","Sieger 79",IF(E81="Verlierer 30","Sieger 79",IF(D81=E81,"Freilos",IF(E81="Freilos",D81,IF(D81="Freilos",E81,IF(F81&gt;G81,D81,IF(G81&gt;F81,E81,"Sieger 79")))))))</f>
        <v>Sieger 79</v>
      </c>
      <c r="E145" s="97" t="str">
        <f>IF(D100="Sieger 3","Verlierer 98",IF(E100="Sieger 4","Verlierer 98",IF(D100=E100,"Freilos",IF(E100="Freilos",E100,IF(D100="Freilos",D100,IF(F100&gt;G100,E100,IF(G100&gt;F100,D100,"Verlierer 98")))))))</f>
        <v>Verlierer 98</v>
      </c>
      <c r="F145" s="128"/>
      <c r="G145" s="99"/>
      <c r="H145" s="100"/>
      <c r="I145" s="100"/>
      <c r="J145" s="100"/>
      <c r="K145" s="101"/>
      <c r="L145" s="71"/>
      <c r="M145" s="95">
        <f t="shared" si="45"/>
      </c>
      <c r="N145" s="48">
        <f t="shared" si="46"/>
        <v>0</v>
      </c>
      <c r="O145" s="48">
        <f t="shared" si="47"/>
        <v>0</v>
      </c>
      <c r="P145" s="48">
        <f t="shared" si="48"/>
        <v>0</v>
      </c>
      <c r="Q145" s="48">
        <f t="shared" si="49"/>
        <v>0</v>
      </c>
      <c r="R145" s="48">
        <f t="shared" si="50"/>
        <v>0</v>
      </c>
      <c r="S145" s="48">
        <f t="shared" si="51"/>
        <v>0</v>
      </c>
      <c r="T145" s="72">
        <f>IF(E132="Freilos",3,IF(F145&gt;G145,3,0))</f>
        <v>0</v>
      </c>
      <c r="U145" s="72">
        <f t="shared" si="52"/>
        <v>0</v>
      </c>
      <c r="V145" s="60">
        <f>IF(Spielereingabe!F22="","",14)</f>
      </c>
      <c r="W145" s="61">
        <f>IF(SP128!V145="","",Spielereingabe!F22)</f>
      </c>
      <c r="X145" s="61">
        <f>IF(SP128!V145="","",Spielereingabe!G22)</f>
      </c>
      <c r="Y145" s="61">
        <f>IF(SP128!V145="","",Spielereingabe!H22)</f>
      </c>
      <c r="Z145" s="61">
        <f>IF(SP128!V145="","",Spielereingabe!I22)</f>
      </c>
      <c r="AA145" s="62">
        <f>IF(SP128!V145="","",SP128!X16)</f>
      </c>
      <c r="AB145" s="62">
        <f>IF(SP128!V145="","",SP128!Z16)</f>
      </c>
      <c r="AC145" s="62">
        <f>IF(SP128!V145="","",SP128!AA16)</f>
      </c>
      <c r="AD145" s="62">
        <f>IF(SP128!V145="","",SP128!AC16)</f>
      </c>
      <c r="AE145" s="62">
        <f>IF(SP128!V145="","",SP128!AD16)</f>
      </c>
      <c r="AF145" s="235">
        <f>IF(SP128!V145="","",SP128!AE16)</f>
      </c>
      <c r="AG145" s="240"/>
      <c r="AH145" s="241"/>
      <c r="AM145" s="127"/>
      <c r="AO145" s="127"/>
      <c r="AP145" s="127"/>
      <c r="AQ145" s="127"/>
      <c r="AR145" s="127"/>
    </row>
    <row r="146" spans="3:44" ht="10.5" thickBot="1">
      <c r="C146" s="74">
        <v>144</v>
      </c>
      <c r="D146" s="96" t="str">
        <f>IF(D82="Verlierer 31","Sieger 80",IF(E82="Verlierer 32","Sieger 80",IF(D82=E82,"Freilos",IF(E82="Freilos",D82,IF(D82="Freilos",E82,IF(F82&gt;G82,D82,IF(G82&gt;F82,E82,"Sieger 80")))))))</f>
        <v>Sieger 80</v>
      </c>
      <c r="E146" s="97" t="str">
        <f>IF(D99="Sieger 1","Verlierer 97",IF(E99="Sieger 2","Verlierer 97",IF(D99=E99,"Freilos",IF(E99="Freilos",E99,IF(D99="Freilos",D99,IF(F99&gt;G99,E99,IF(G99&gt;F99,D99,"Verlierer 97")))))))</f>
        <v>Verlierer 97</v>
      </c>
      <c r="F146" s="128"/>
      <c r="G146" s="99"/>
      <c r="H146" s="100"/>
      <c r="I146" s="100"/>
      <c r="J146" s="100"/>
      <c r="K146" s="101"/>
      <c r="L146" s="71"/>
      <c r="M146" s="95">
        <f t="shared" si="45"/>
      </c>
      <c r="N146" s="48">
        <f t="shared" si="46"/>
        <v>0</v>
      </c>
      <c r="O146" s="48">
        <f t="shared" si="47"/>
        <v>0</v>
      </c>
      <c r="P146" s="48">
        <f t="shared" si="48"/>
        <v>0</v>
      </c>
      <c r="Q146" s="48">
        <f t="shared" si="49"/>
        <v>0</v>
      </c>
      <c r="R146" s="48">
        <f t="shared" si="50"/>
        <v>0</v>
      </c>
      <c r="S146" s="48">
        <f t="shared" si="51"/>
        <v>0</v>
      </c>
      <c r="T146" s="72">
        <f>IF(E131="Freilos",3,IF(F146&gt;G146,3,0))</f>
        <v>0</v>
      </c>
      <c r="U146" s="72">
        <f t="shared" si="52"/>
        <v>0</v>
      </c>
      <c r="V146" s="60">
        <f>IF(Spielereingabe!F23="","",15)</f>
      </c>
      <c r="W146" s="61">
        <f>IF(SP128!V146="","",Spielereingabe!F23)</f>
      </c>
      <c r="X146" s="61">
        <f>IF(SP128!V146="","",Spielereingabe!G23)</f>
      </c>
      <c r="Y146" s="61">
        <f>IF(SP128!V146="","",Spielereingabe!H23)</f>
      </c>
      <c r="Z146" s="61">
        <f>IF(SP128!V146="","",Spielereingabe!I23)</f>
      </c>
      <c r="AA146" s="62">
        <f>IF(SP128!V146="","",SP128!X17)</f>
      </c>
      <c r="AB146" s="62">
        <f>IF(SP128!V146="","",SP128!Z17)</f>
      </c>
      <c r="AC146" s="62">
        <f>IF(SP128!V146="","",SP128!AA17)</f>
      </c>
      <c r="AD146" s="62">
        <f>IF(SP128!V146="","",SP128!AC17)</f>
      </c>
      <c r="AE146" s="62">
        <f>IF(SP128!V146="","",SP128!AD17)</f>
      </c>
      <c r="AF146" s="235">
        <f>IF(SP128!V146="","",SP128!AE17)</f>
      </c>
      <c r="AG146" s="240"/>
      <c r="AH146" s="241"/>
      <c r="AM146" s="127"/>
      <c r="AO146" s="127"/>
      <c r="AP146" s="127"/>
      <c r="AQ146" s="127"/>
      <c r="AR146" s="127"/>
    </row>
    <row r="147" spans="3:44" ht="10.5" thickBot="1">
      <c r="C147" s="74">
        <v>145</v>
      </c>
      <c r="D147" s="96" t="str">
        <f>IF(D83="Verlierer 33","Sieger 81",IF(E83="Verlierer 34","Sieger 81",IF(D83=E83,"Freilos",IF(E83="Freilos",D83,IF(D83="Freilos",E83,IF(F83&gt;G83,D83,IF(G83&gt;F83,E83,"Sieger 81")))))))</f>
        <v>Sieger 81</v>
      </c>
      <c r="E147" s="97" t="str">
        <f>IF(D130="Sieger 63","Verlierer 128",IF(E130="Sieger 64","Verlierer 128",IF(D130=E130,"Freilos",IF(E130="Freilos",E130,IF(D130="Freilos",D130,IF(F130&gt;G130,E130,IF(G130&gt;F130,D130,"Verlierer 128")))))))</f>
        <v>Verlierer 128</v>
      </c>
      <c r="F147" s="128"/>
      <c r="G147" s="99"/>
      <c r="H147" s="100"/>
      <c r="I147" s="100"/>
      <c r="J147" s="100"/>
      <c r="K147" s="101"/>
      <c r="L147" s="71"/>
      <c r="M147" s="95">
        <f t="shared" si="45"/>
      </c>
      <c r="N147" s="48">
        <f t="shared" si="46"/>
        <v>0</v>
      </c>
      <c r="O147" s="48">
        <f t="shared" si="47"/>
        <v>0</v>
      </c>
      <c r="P147" s="48">
        <f t="shared" si="48"/>
        <v>0</v>
      </c>
      <c r="Q147" s="48">
        <f t="shared" si="49"/>
        <v>0</v>
      </c>
      <c r="R147" s="48">
        <f t="shared" si="50"/>
        <v>0</v>
      </c>
      <c r="S147" s="48">
        <f t="shared" si="51"/>
        <v>0</v>
      </c>
      <c r="T147" s="72">
        <f>IF(E162="Freilos",3,IF(F147&gt;G147,3,0))</f>
        <v>0</v>
      </c>
      <c r="U147" s="72">
        <f t="shared" si="52"/>
        <v>0</v>
      </c>
      <c r="V147" s="60">
        <f>IF(Spielereingabe!F24="","",16)</f>
      </c>
      <c r="W147" s="61">
        <f>IF(SP128!V147="","",Spielereingabe!F24)</f>
      </c>
      <c r="X147" s="61">
        <f>IF(SP128!V147="","",Spielereingabe!G24)</f>
      </c>
      <c r="Y147" s="61">
        <f>IF(SP128!V147="","",Spielereingabe!H24)</f>
      </c>
      <c r="Z147" s="61">
        <f>IF(SP128!V147="","",Spielereingabe!I24)</f>
      </c>
      <c r="AA147" s="62">
        <f>IF(SP128!V147="","",SP128!X18)</f>
      </c>
      <c r="AB147" s="62">
        <f>IF(SP128!V147="","",SP128!Z18)</f>
      </c>
      <c r="AC147" s="62">
        <f>IF(SP128!V147="","",SP128!AA18)</f>
      </c>
      <c r="AD147" s="62">
        <f>IF(SP128!V147="","",SP128!AC18)</f>
      </c>
      <c r="AE147" s="62">
        <f>IF(SP128!V147="","",SP128!AD18)</f>
      </c>
      <c r="AF147" s="235">
        <f>IF(SP128!V147="","",SP128!AE18)</f>
      </c>
      <c r="AG147" s="240"/>
      <c r="AH147" s="241"/>
      <c r="AM147" s="127"/>
      <c r="AO147" s="127"/>
      <c r="AP147" s="127"/>
      <c r="AQ147" s="127"/>
      <c r="AR147" s="127"/>
    </row>
    <row r="148" spans="3:44" ht="10.5" thickBot="1">
      <c r="C148" s="74">
        <v>146</v>
      </c>
      <c r="D148" s="96" t="str">
        <f>IF(D84="Verlierer 35","Sieger 82",IF(E84="Verlierer 36","Sieger 82",IF(D84=E84,"Freilos",IF(E84="Freilos",D84,IF(D84="Freilos",E84,IF(F84&gt;G84,D84,IF(G84&gt;F84,E84,"Sieger 82")))))))</f>
        <v>Sieger 82</v>
      </c>
      <c r="E148" s="97" t="str">
        <f>IF(D129="Sieger 61","Verlierer 127",IF(E129="Sieger 62","Verlierer 127",IF(D129=E129,"Freilos",IF(E129="Freilos",E129,IF(D129="Freilos",D129,IF(F129&gt;G129,E129,IF(G129&gt;F129,D129,"Verlierer 127")))))))</f>
        <v>Verlierer 127</v>
      </c>
      <c r="F148" s="128"/>
      <c r="G148" s="99"/>
      <c r="H148" s="100"/>
      <c r="I148" s="100"/>
      <c r="J148" s="100"/>
      <c r="K148" s="101"/>
      <c r="L148" s="71"/>
      <c r="M148" s="95">
        <f t="shared" si="45"/>
      </c>
      <c r="N148" s="48">
        <f t="shared" si="46"/>
        <v>0</v>
      </c>
      <c r="O148" s="48">
        <f t="shared" si="47"/>
        <v>0</v>
      </c>
      <c r="P148" s="48">
        <f t="shared" si="48"/>
        <v>0</v>
      </c>
      <c r="Q148" s="48">
        <f t="shared" si="49"/>
        <v>0</v>
      </c>
      <c r="R148" s="48">
        <f t="shared" si="50"/>
        <v>0</v>
      </c>
      <c r="S148" s="48">
        <f t="shared" si="51"/>
        <v>0</v>
      </c>
      <c r="T148" s="72">
        <f>IF(E161="Freilos",3,IF(F148&gt;G148,3,0))</f>
        <v>0</v>
      </c>
      <c r="U148" s="72">
        <f t="shared" si="52"/>
        <v>0</v>
      </c>
      <c r="V148" s="60">
        <f>IF(Spielereingabe!F25="","",17)</f>
      </c>
      <c r="W148" s="61">
        <f>IF(SP128!V148="","",Spielereingabe!F25)</f>
      </c>
      <c r="X148" s="61">
        <f>IF(SP128!V148="","",Spielereingabe!G25)</f>
      </c>
      <c r="Y148" s="61">
        <f>IF(SP128!V148="","",Spielereingabe!H25)</f>
      </c>
      <c r="Z148" s="61">
        <f>IF(SP128!V148="","",Spielereingabe!I25)</f>
      </c>
      <c r="AA148" s="62">
        <f>IF(SP128!V148="","",SP128!X19)</f>
      </c>
      <c r="AB148" s="62">
        <f>IF(SP128!V148="","",SP128!Z19)</f>
      </c>
      <c r="AC148" s="62">
        <f>IF(SP128!V148="","",SP128!AA19)</f>
      </c>
      <c r="AD148" s="62">
        <f>IF(SP128!V148="","",SP128!AC19)</f>
      </c>
      <c r="AE148" s="62">
        <f>IF(SP128!V148="","",SP128!AD19)</f>
      </c>
      <c r="AF148" s="235">
        <f>IF(SP128!V148="","",SP128!AE19)</f>
      </c>
      <c r="AG148" s="240"/>
      <c r="AH148" s="241"/>
      <c r="AM148" s="127"/>
      <c r="AO148" s="127"/>
      <c r="AP148" s="127"/>
      <c r="AQ148" s="127"/>
      <c r="AR148" s="127"/>
    </row>
    <row r="149" spans="3:44" ht="10.5" thickBot="1">
      <c r="C149" s="74">
        <v>147</v>
      </c>
      <c r="D149" s="96" t="str">
        <f>IF(D85="Verlierer 37","Sieger 83",IF(E85="Verlierer 38","Sieger 65",IF(D85=E85,"Freilos",IF(E85="Freilos",D85,IF(D85="Freilos",E85,IF(F85&gt;G85,D85,IF(G85&gt;F85,E85,"Sieger 83")))))))</f>
        <v>Sieger 83</v>
      </c>
      <c r="E149" s="97" t="str">
        <f>IF(D128="Sieger 59","Verlierer 126",IF(E128="Sieger 60","Verlierer 126",IF(D128=E128,"Freilos",IF(E128="Freilos",E128,IF(D128="Freilos",D128,IF(F128&gt;G128,E128,IF(G128&gt;F128,D128,"Verlierer 126")))))))</f>
        <v>Verlierer 126</v>
      </c>
      <c r="F149" s="128"/>
      <c r="G149" s="99"/>
      <c r="H149" s="100"/>
      <c r="I149" s="100"/>
      <c r="J149" s="100"/>
      <c r="K149" s="101"/>
      <c r="L149" s="71"/>
      <c r="M149" s="95">
        <f t="shared" si="45"/>
      </c>
      <c r="N149" s="48">
        <f t="shared" si="46"/>
        <v>0</v>
      </c>
      <c r="O149" s="48">
        <f t="shared" si="47"/>
        <v>0</v>
      </c>
      <c r="P149" s="48">
        <f t="shared" si="48"/>
        <v>0</v>
      </c>
      <c r="Q149" s="48">
        <f t="shared" si="49"/>
        <v>0</v>
      </c>
      <c r="R149" s="48">
        <f t="shared" si="50"/>
        <v>0</v>
      </c>
      <c r="S149" s="48">
        <f t="shared" si="51"/>
        <v>0</v>
      </c>
      <c r="T149" s="72">
        <f>IF(E160="Freilos",3,IF(F149&gt;G149,3,0))</f>
        <v>0</v>
      </c>
      <c r="U149" s="72">
        <f t="shared" si="52"/>
        <v>0</v>
      </c>
      <c r="V149" s="60">
        <f>IF(Spielereingabe!F26="","",18)</f>
      </c>
      <c r="W149" s="61">
        <f>IF(SP128!V149="","",Spielereingabe!F26)</f>
      </c>
      <c r="X149" s="61">
        <f>IF(SP128!V149="","",Spielereingabe!G26)</f>
      </c>
      <c r="Y149" s="61">
        <f>IF(SP128!V149="","",Spielereingabe!H26)</f>
      </c>
      <c r="Z149" s="61">
        <f>IF(SP128!V149="","",Spielereingabe!I26)</f>
      </c>
      <c r="AA149" s="62">
        <f>IF(SP128!V149="","",SP128!X20)</f>
      </c>
      <c r="AB149" s="62">
        <f>IF(SP128!V149="","",SP128!Z20)</f>
      </c>
      <c r="AC149" s="62">
        <f>IF(SP128!V149="","",SP128!AA20)</f>
      </c>
      <c r="AD149" s="62">
        <f>IF(SP128!V149="","",SP128!AC20)</f>
      </c>
      <c r="AE149" s="62">
        <f>IF(SP128!V149="","",SP128!AD20)</f>
      </c>
      <c r="AF149" s="235">
        <f>IF(SP128!V149="","",SP128!AE20)</f>
      </c>
      <c r="AG149" s="240"/>
      <c r="AH149" s="241"/>
      <c r="AM149" s="127"/>
      <c r="AO149" s="127"/>
      <c r="AP149" s="127"/>
      <c r="AQ149" s="127"/>
      <c r="AR149" s="127"/>
    </row>
    <row r="150" spans="3:44" ht="10.5" thickBot="1">
      <c r="C150" s="74">
        <v>148</v>
      </c>
      <c r="D150" s="96" t="str">
        <f>IF(D86="Verlierer 39","Sieger 84",IF(E86="Verlierer 40","Sieger 84",IF(D86=E86,"Freilos",IF(E86="Freilos",D86,IF(D86="Freilos",E86,IF(F86&gt;G86,D86,IF(G86&gt;F86,E86,"Sieger 84")))))))</f>
        <v>Sieger 84</v>
      </c>
      <c r="E150" s="97" t="str">
        <f>IF(D127="Sieger 57","Verlierer 125",IF(E127="Sieger 58","Verlierer 125",IF(D127=E127,"Freilos",IF(E127="Freilos",E127,IF(D127="Freilos",D127,IF(F127&gt;G127,E127,IF(G127&gt;F127,D127,"Verlierer 125")))))))</f>
        <v>Verlierer 125</v>
      </c>
      <c r="F150" s="128"/>
      <c r="G150" s="99"/>
      <c r="H150" s="100"/>
      <c r="I150" s="100"/>
      <c r="J150" s="100"/>
      <c r="K150" s="101"/>
      <c r="L150" s="71"/>
      <c r="M150" s="95">
        <f t="shared" si="45"/>
      </c>
      <c r="N150" s="48">
        <f t="shared" si="46"/>
        <v>0</v>
      </c>
      <c r="O150" s="48">
        <f t="shared" si="47"/>
        <v>0</v>
      </c>
      <c r="P150" s="48">
        <f t="shared" si="48"/>
        <v>0</v>
      </c>
      <c r="Q150" s="48">
        <f t="shared" si="49"/>
        <v>0</v>
      </c>
      <c r="R150" s="48">
        <f t="shared" si="50"/>
        <v>0</v>
      </c>
      <c r="S150" s="48">
        <f t="shared" si="51"/>
        <v>0</v>
      </c>
      <c r="T150" s="72">
        <f>IF(E159="Freilos",3,IF(F150&gt;G150,3,0))</f>
        <v>0</v>
      </c>
      <c r="U150" s="72">
        <f t="shared" si="52"/>
        <v>0</v>
      </c>
      <c r="V150" s="60">
        <f>IF(Spielereingabe!F27="","",19)</f>
      </c>
      <c r="W150" s="61">
        <f>IF(SP128!V150="","",Spielereingabe!F27)</f>
      </c>
      <c r="X150" s="61">
        <f>IF(SP128!V150="","",Spielereingabe!G27)</f>
      </c>
      <c r="Y150" s="61">
        <f>IF(SP128!V150="","",Spielereingabe!H27)</f>
      </c>
      <c r="Z150" s="61">
        <f>IF(SP128!V150="","",Spielereingabe!I27)</f>
      </c>
      <c r="AA150" s="62">
        <f>IF(SP128!V150="","",SP128!X21)</f>
      </c>
      <c r="AB150" s="62">
        <f>IF(SP128!V150="","",SP128!Z21)</f>
      </c>
      <c r="AC150" s="62">
        <f>IF(SP128!V150="","",SP128!AA21)</f>
      </c>
      <c r="AD150" s="62">
        <f>IF(SP128!V150="","",SP128!AC21)</f>
      </c>
      <c r="AE150" s="62">
        <f>IF(SP128!V150="","",SP128!AD21)</f>
      </c>
      <c r="AF150" s="235">
        <f>IF(SP128!V150="","",SP128!AE21)</f>
      </c>
      <c r="AG150" s="240"/>
      <c r="AH150" s="241"/>
      <c r="AM150" s="127"/>
      <c r="AO150" s="127"/>
      <c r="AP150" s="127"/>
      <c r="AQ150" s="127"/>
      <c r="AR150" s="127"/>
    </row>
    <row r="151" spans="3:44" ht="10.5" thickBot="1">
      <c r="C151" s="74">
        <v>149</v>
      </c>
      <c r="D151" s="96" t="str">
        <f>IF(D87="Verlierer 41","Sieger 85",IF(E87="Verlierer 42","Sieger 85",IF(D87=E87,"Freilos",IF(E87="Freilos",D87,IF(D87="Freilos",E87,IF(F87&gt;G87,D87,IF(G87&gt;F87,E87,"Sieger 85")))))))</f>
        <v>Sieger 85</v>
      </c>
      <c r="E151" s="97" t="str">
        <f>IF(D126="Sieger 55","Verlierer 124",IF(E126="Sieger 56","Verlierer 124",IF(D126=E126,"Freilos",IF(E126="Freilos",E126,IF(D126="Freilos",D126,IF(F126&gt;G126,E126,IF(G126&gt;F126,D126,"Verlierer 124")))))))</f>
        <v>Verlierer 124</v>
      </c>
      <c r="F151" s="128"/>
      <c r="G151" s="99"/>
      <c r="H151" s="100"/>
      <c r="I151" s="100"/>
      <c r="J151" s="100"/>
      <c r="K151" s="101"/>
      <c r="L151" s="71"/>
      <c r="M151" s="95">
        <f t="shared" si="45"/>
      </c>
      <c r="N151" s="48">
        <f t="shared" si="46"/>
        <v>0</v>
      </c>
      <c r="O151" s="48">
        <f t="shared" si="47"/>
        <v>0</v>
      </c>
      <c r="P151" s="48">
        <f t="shared" si="48"/>
        <v>0</v>
      </c>
      <c r="Q151" s="48">
        <f t="shared" si="49"/>
        <v>0</v>
      </c>
      <c r="R151" s="48">
        <f t="shared" si="50"/>
        <v>0</v>
      </c>
      <c r="S151" s="48">
        <f t="shared" si="51"/>
        <v>0</v>
      </c>
      <c r="T151" s="72">
        <f>IF(E158="Freilos",3,IF(F151&gt;G151,3,0))</f>
        <v>0</v>
      </c>
      <c r="U151" s="72">
        <f t="shared" si="52"/>
        <v>0</v>
      </c>
      <c r="V151" s="60">
        <f>IF(Spielereingabe!F28="","",20)</f>
      </c>
      <c r="W151" s="61">
        <f>IF(SP128!V151="","",Spielereingabe!F28)</f>
      </c>
      <c r="X151" s="61">
        <f>IF(SP128!V151="","",Spielereingabe!G28)</f>
      </c>
      <c r="Y151" s="61">
        <f>IF(SP128!V151="","",Spielereingabe!H28)</f>
      </c>
      <c r="Z151" s="61">
        <f>IF(SP128!V151="","",Spielereingabe!I28)</f>
      </c>
      <c r="AA151" s="62">
        <f>IF(SP128!V151="","",SP128!X22)</f>
      </c>
      <c r="AB151" s="62">
        <f>IF(SP128!V151="","",SP128!Z22)</f>
      </c>
      <c r="AC151" s="62">
        <f>IF(SP128!V151="","",SP128!AA22)</f>
      </c>
      <c r="AD151" s="62">
        <f>IF(SP128!V151="","",SP128!AC22)</f>
      </c>
      <c r="AE151" s="62">
        <f>IF(SP128!V151="","",SP128!AD22)</f>
      </c>
      <c r="AF151" s="235">
        <f>IF(SP128!V151="","",SP128!AE22)</f>
      </c>
      <c r="AG151" s="240"/>
      <c r="AH151" s="241"/>
      <c r="AM151" s="127"/>
      <c r="AO151" s="127"/>
      <c r="AP151" s="127"/>
      <c r="AQ151" s="127"/>
      <c r="AR151" s="127"/>
    </row>
    <row r="152" spans="3:44" ht="10.5" thickBot="1">
      <c r="C152" s="74">
        <v>150</v>
      </c>
      <c r="D152" s="96" t="str">
        <f>IF(D88="Verlierer 43","Sieger 86",IF(E88="Verlierer 44","Sieger 86",IF(D88=E88,"Freilos",IF(E88="Freilos",D88,IF(D88="Freilos",E88,IF(F88&gt;G88,D88,IF(G88&gt;F88,E88,"Sieger 86")))))))</f>
        <v>Sieger 86</v>
      </c>
      <c r="E152" s="97" t="str">
        <f>IF(D125="Sieger 53","Verlierer 123",IF(E125="Sieger 54","Verlierer 123",IF(D125=E125,"Freilos",IF(E125="Freilos",E125,IF(D125="Freilos",D125,IF(F125&gt;G125,E125,IF(G125&gt;F125,D125,"Verlierer 123")))))))</f>
        <v>Verlierer 123</v>
      </c>
      <c r="F152" s="128"/>
      <c r="G152" s="99"/>
      <c r="H152" s="100"/>
      <c r="I152" s="100"/>
      <c r="J152" s="100"/>
      <c r="K152" s="101"/>
      <c r="L152" s="71"/>
      <c r="M152" s="95">
        <f t="shared" si="45"/>
      </c>
      <c r="N152" s="48">
        <f t="shared" si="46"/>
        <v>0</v>
      </c>
      <c r="O152" s="48">
        <f t="shared" si="47"/>
        <v>0</v>
      </c>
      <c r="P152" s="48">
        <f t="shared" si="48"/>
        <v>0</v>
      </c>
      <c r="Q152" s="48">
        <f t="shared" si="49"/>
        <v>0</v>
      </c>
      <c r="R152" s="48">
        <f t="shared" si="50"/>
        <v>0</v>
      </c>
      <c r="S152" s="48">
        <f t="shared" si="51"/>
        <v>0</v>
      </c>
      <c r="T152" s="72">
        <f>IF(E157="Freilos",3,IF(F152&gt;G152,3,0))</f>
        <v>0</v>
      </c>
      <c r="U152" s="72">
        <f t="shared" si="52"/>
        <v>0</v>
      </c>
      <c r="V152" s="60">
        <f>IF(Spielereingabe!F29="","",21)</f>
      </c>
      <c r="W152" s="61">
        <f>IF(SP128!V152="","",Spielereingabe!F29)</f>
      </c>
      <c r="X152" s="61">
        <f>IF(SP128!V152="","",Spielereingabe!G29)</f>
      </c>
      <c r="Y152" s="61">
        <f>IF(SP128!V152="","",Spielereingabe!H29)</f>
      </c>
      <c r="Z152" s="61">
        <f>IF(SP128!V152="","",Spielereingabe!I29)</f>
      </c>
      <c r="AA152" s="62">
        <f>IF(SP128!V152="","",SP128!X23)</f>
      </c>
      <c r="AB152" s="62">
        <f>IF(SP128!V152="","",SP128!Z23)</f>
      </c>
      <c r="AC152" s="62">
        <f>IF(SP128!V152="","",SP128!AA23)</f>
      </c>
      <c r="AD152" s="62">
        <f>IF(SP128!V152="","",SP128!AC23)</f>
      </c>
      <c r="AE152" s="62">
        <f>IF(SP128!V152="","",SP128!AD23)</f>
      </c>
      <c r="AF152" s="235">
        <f>IF(SP128!V152="","",SP128!AE23)</f>
      </c>
      <c r="AG152" s="240"/>
      <c r="AH152" s="241"/>
      <c r="AM152" s="127"/>
      <c r="AO152" s="127"/>
      <c r="AP152" s="127"/>
      <c r="AQ152" s="127"/>
      <c r="AR152" s="127"/>
    </row>
    <row r="153" spans="3:44" ht="10.5" thickBot="1">
      <c r="C153" s="74">
        <v>151</v>
      </c>
      <c r="D153" s="96" t="str">
        <f>IF(D89="Verlierer 45","Sieger 87",IF(E89="Verlierer 46","Sieger 87",IF(D89=E89,"Freilos",IF(E89="Freilos",D89,IF(D89="Freilos",E89,IF(F89&gt;G89,D89,IF(G89&gt;F89,E89,"Sieger 87")))))))</f>
        <v>Sieger 87</v>
      </c>
      <c r="E153" s="97" t="str">
        <f>IF(D124="Sieger 51","Verlierer 122",IF(E124="Sieger 52","Verlierer 122",IF(D124=E124,"Freilos",IF(E124="Freilos",E124,IF(D124="Freilos",D124,IF(F124&gt;G124,E124,IF(G124&gt;F124,D124,"Verlierer 122")))))))</f>
        <v>Verlierer 122</v>
      </c>
      <c r="F153" s="128"/>
      <c r="G153" s="99"/>
      <c r="H153" s="100"/>
      <c r="I153" s="100"/>
      <c r="J153" s="100"/>
      <c r="K153" s="101"/>
      <c r="L153" s="71"/>
      <c r="M153" s="95">
        <f t="shared" si="45"/>
      </c>
      <c r="N153" s="48">
        <f t="shared" si="46"/>
        <v>0</v>
      </c>
      <c r="O153" s="48">
        <f t="shared" si="47"/>
        <v>0</v>
      </c>
      <c r="P153" s="48">
        <f t="shared" si="48"/>
        <v>0</v>
      </c>
      <c r="Q153" s="48">
        <f t="shared" si="49"/>
        <v>0</v>
      </c>
      <c r="R153" s="48">
        <f t="shared" si="50"/>
        <v>0</v>
      </c>
      <c r="S153" s="48">
        <f t="shared" si="51"/>
        <v>0</v>
      </c>
      <c r="T153" s="72">
        <f>IF(E156="Freilos",3,IF(F153&gt;G153,3,0))</f>
        <v>0</v>
      </c>
      <c r="U153" s="72">
        <f t="shared" si="52"/>
        <v>0</v>
      </c>
      <c r="V153" s="60">
        <f>IF(Spielereingabe!F30="","",22)</f>
      </c>
      <c r="W153" s="61">
        <f>IF(SP128!V153="","",Spielereingabe!F30)</f>
      </c>
      <c r="X153" s="61">
        <f>IF(SP128!V153="","",Spielereingabe!G30)</f>
      </c>
      <c r="Y153" s="61">
        <f>IF(SP128!V153="","",Spielereingabe!H30)</f>
      </c>
      <c r="Z153" s="61">
        <f>IF(SP128!V153="","",Spielereingabe!I30)</f>
      </c>
      <c r="AA153" s="62">
        <f>IF(SP128!V153="","",SP128!X24)</f>
      </c>
      <c r="AB153" s="62">
        <f>IF(SP128!V153="","",SP128!Z24)</f>
      </c>
      <c r="AC153" s="62">
        <f>IF(SP128!V153="","",SP128!AA24)</f>
      </c>
      <c r="AD153" s="62">
        <f>IF(SP128!V153="","",SP128!AC24)</f>
      </c>
      <c r="AE153" s="62">
        <f>IF(SP128!V153="","",SP128!AD24)</f>
      </c>
      <c r="AF153" s="235">
        <f>IF(SP128!V153="","",SP128!AE24)</f>
      </c>
      <c r="AG153" s="240"/>
      <c r="AH153" s="241"/>
      <c r="AM153" s="127"/>
      <c r="AO153" s="127"/>
      <c r="AP153" s="127"/>
      <c r="AQ153" s="127"/>
      <c r="AR153" s="127"/>
    </row>
    <row r="154" spans="3:44" ht="10.5" thickBot="1">
      <c r="C154" s="74">
        <v>152</v>
      </c>
      <c r="D154" s="96" t="str">
        <f>IF(D90="Verlierer 47","Sieger 88",IF(E90="Verlierer 48","Sieger 88",IF(D90=E90,"Freilos",IF(E90="Freilos",D90,IF(D90="Freilos",E90,IF(F90&gt;G90,D90,IF(G90&gt;F90,E90,"Sieger 88")))))))</f>
        <v>Sieger 88</v>
      </c>
      <c r="E154" s="97" t="str">
        <f>IF(D123="Sieger 49","Verlierer 121",IF(E123="Sieger 50","Verlierer 121",IF(D123=E123,"Freilos",IF(E123="Freilos",E123,IF(D123="Freilos",D123,IF(F123&gt;G123,E123,IF(G123&gt;F123,D123,"Verlierer 121")))))))</f>
        <v>Verlierer 121</v>
      </c>
      <c r="F154" s="128"/>
      <c r="G154" s="99"/>
      <c r="H154" s="100"/>
      <c r="I154" s="100"/>
      <c r="J154" s="100"/>
      <c r="K154" s="101"/>
      <c r="L154" s="71"/>
      <c r="M154" s="95">
        <f t="shared" si="45"/>
      </c>
      <c r="N154" s="48">
        <f t="shared" si="46"/>
        <v>0</v>
      </c>
      <c r="O154" s="48">
        <f t="shared" si="47"/>
        <v>0</v>
      </c>
      <c r="P154" s="48">
        <f t="shared" si="48"/>
        <v>0</v>
      </c>
      <c r="Q154" s="48">
        <f t="shared" si="49"/>
        <v>0</v>
      </c>
      <c r="R154" s="48">
        <f t="shared" si="50"/>
        <v>0</v>
      </c>
      <c r="S154" s="48">
        <f t="shared" si="51"/>
        <v>0</v>
      </c>
      <c r="T154" s="72">
        <f>IF(E155="Freilos",3,IF(F154&gt;G154,3,0))</f>
        <v>0</v>
      </c>
      <c r="U154" s="72">
        <f t="shared" si="52"/>
        <v>0</v>
      </c>
      <c r="V154" s="60">
        <f>IF(Spielereingabe!F31="","",23)</f>
      </c>
      <c r="W154" s="61">
        <f>IF(SP128!V154="","",Spielereingabe!F31)</f>
      </c>
      <c r="X154" s="61">
        <f>IF(SP128!V154="","",Spielereingabe!G31)</f>
      </c>
      <c r="Y154" s="61">
        <f>IF(SP128!V154="","",Spielereingabe!H31)</f>
      </c>
      <c r="Z154" s="61">
        <f>IF(SP128!V154="","",Spielereingabe!I31)</f>
      </c>
      <c r="AA154" s="62">
        <f>IF(SP128!V154="","",SP128!X25)</f>
      </c>
      <c r="AB154" s="62">
        <f>IF(SP128!V154="","",SP128!Z25)</f>
      </c>
      <c r="AC154" s="62">
        <f>IF(SP128!V154="","",SP128!AA25)</f>
      </c>
      <c r="AD154" s="62">
        <f>IF(SP128!V154="","",SP128!AC25)</f>
      </c>
      <c r="AE154" s="62">
        <f>IF(SP128!V154="","",SP128!AD25)</f>
      </c>
      <c r="AF154" s="235">
        <f>IF(SP128!V154="","",SP128!AE25)</f>
      </c>
      <c r="AG154" s="240"/>
      <c r="AH154" s="241"/>
      <c r="AM154" s="127"/>
      <c r="AO154" s="127"/>
      <c r="AP154" s="127"/>
      <c r="AQ154" s="127"/>
      <c r="AR154" s="127"/>
    </row>
    <row r="155" spans="3:44" ht="10.5" thickBot="1">
      <c r="C155" s="74">
        <v>153</v>
      </c>
      <c r="D155" s="96" t="str">
        <f>IF(D91="Verlierer 49","Sieger 89",IF(E91="Verlierer 50","Sieger 89",IF(D91=E91,"Freilos",IF(E91="Freilos",D91,IF(D91="Freilos",E91,IF(F91&gt;G91,D91,IF(G91&gt;F91,E91,"Sieger 89")))))))</f>
        <v>Sieger 89</v>
      </c>
      <c r="E155" s="97" t="str">
        <f>IF(D122="Sieger 47","Verlierer 120",IF(E122="Sieger 48","Verlierer 120",IF(D122=E122,"Freilos",IF(E122="Freilos",E122,IF(D122="Freilos",D122,IF(F122&gt;G122,E122,IF(G122&gt;F122,D122,"Verlierer 120")))))))</f>
        <v>Verlierer 120</v>
      </c>
      <c r="F155" s="128"/>
      <c r="G155" s="99"/>
      <c r="H155" s="100"/>
      <c r="I155" s="100"/>
      <c r="J155" s="100"/>
      <c r="K155" s="101"/>
      <c r="L155" s="71"/>
      <c r="M155" s="95">
        <f t="shared" si="45"/>
      </c>
      <c r="N155" s="48">
        <f t="shared" si="46"/>
        <v>0</v>
      </c>
      <c r="O155" s="48">
        <f t="shared" si="47"/>
        <v>0</v>
      </c>
      <c r="P155" s="48">
        <f t="shared" si="48"/>
        <v>0</v>
      </c>
      <c r="Q155" s="48">
        <f t="shared" si="49"/>
        <v>0</v>
      </c>
      <c r="R155" s="48">
        <f t="shared" si="50"/>
        <v>0</v>
      </c>
      <c r="S155" s="48">
        <f t="shared" si="51"/>
        <v>0</v>
      </c>
      <c r="T155" s="72">
        <f>IF(E154="Freilos",3,IF(F155&gt;G155,3,0))</f>
        <v>0</v>
      </c>
      <c r="U155" s="72">
        <f t="shared" si="52"/>
        <v>0</v>
      </c>
      <c r="V155" s="60">
        <f>IF(Spielereingabe!F32="","",24)</f>
      </c>
      <c r="W155" s="61">
        <f>IF(SP128!V155="","",Spielereingabe!F32)</f>
      </c>
      <c r="X155" s="61">
        <f>IF(SP128!V155="","",Spielereingabe!G32)</f>
      </c>
      <c r="Y155" s="61">
        <f>IF(SP128!V155="","",Spielereingabe!H32)</f>
      </c>
      <c r="Z155" s="61">
        <f>IF(SP128!V155="","",Spielereingabe!I32)</f>
      </c>
      <c r="AA155" s="62">
        <f>IF(SP128!V155="","",SP128!X26)</f>
      </c>
      <c r="AB155" s="62">
        <f>IF(SP128!V155="","",SP128!Z26)</f>
      </c>
      <c r="AC155" s="62">
        <f>IF(SP128!V155="","",SP128!AA26)</f>
      </c>
      <c r="AD155" s="62">
        <f>IF(SP128!V155="","",SP128!AC26)</f>
      </c>
      <c r="AE155" s="62">
        <f>IF(SP128!V155="","",SP128!AD26)</f>
      </c>
      <c r="AF155" s="235">
        <f>IF(SP128!V155="","",SP128!AE26)</f>
      </c>
      <c r="AG155" s="240"/>
      <c r="AH155" s="241"/>
      <c r="AM155" s="127"/>
      <c r="AO155" s="127"/>
      <c r="AP155" s="127"/>
      <c r="AQ155" s="127"/>
      <c r="AR155" s="127"/>
    </row>
    <row r="156" spans="3:44" ht="10.5" thickBot="1">
      <c r="C156" s="74">
        <v>154</v>
      </c>
      <c r="D156" s="96" t="str">
        <f>IF(D92="Verlierer 51","Sieger 90",IF(E92="Verlierer 52","Sieger 90",IF(D92=E92,"Freilos",IF(E92="Freilos",D92,IF(D92="Freilos",E92,IF(F92&gt;G92,D92,IF(G92&gt;F92,E92,"Sieger 90")))))))</f>
        <v>Sieger 90</v>
      </c>
      <c r="E156" s="97" t="str">
        <f>IF(D121="Sieger 45","Verlierer 119",IF(E121="Sieger 46","Verlierer 119",IF(D121=E121,"Freilos",IF(E121="Freilos",E121,IF(D121="Freilos",D121,IF(F121&gt;G121,E121,IF(G121&gt;F121,D121,"Verlierer 119")))))))</f>
        <v>Verlierer 119</v>
      </c>
      <c r="F156" s="128"/>
      <c r="G156" s="99"/>
      <c r="H156" s="100"/>
      <c r="I156" s="100"/>
      <c r="J156" s="100"/>
      <c r="K156" s="101"/>
      <c r="L156" s="71"/>
      <c r="M156" s="95">
        <f t="shared" si="45"/>
      </c>
      <c r="N156" s="48">
        <f t="shared" si="46"/>
        <v>0</v>
      </c>
      <c r="O156" s="48">
        <f t="shared" si="47"/>
        <v>0</v>
      </c>
      <c r="P156" s="48">
        <f t="shared" si="48"/>
        <v>0</v>
      </c>
      <c r="Q156" s="48">
        <f t="shared" si="49"/>
        <v>0</v>
      </c>
      <c r="R156" s="48">
        <f t="shared" si="50"/>
        <v>0</v>
      </c>
      <c r="S156" s="48">
        <f t="shared" si="51"/>
        <v>0</v>
      </c>
      <c r="T156" s="72">
        <f>IF(E153="Freilos",3,IF(F156&gt;G156,3,0))</f>
        <v>0</v>
      </c>
      <c r="U156" s="72">
        <f t="shared" si="52"/>
        <v>0</v>
      </c>
      <c r="V156" s="60">
        <f>IF(Spielereingabe!F33="","",25)</f>
      </c>
      <c r="W156" s="61">
        <f>IF(SP128!V156="","",Spielereingabe!F33)</f>
      </c>
      <c r="X156" s="61">
        <f>IF(SP128!V156="","",Spielereingabe!G33)</f>
      </c>
      <c r="Y156" s="61">
        <f>IF(SP128!V156="","",Spielereingabe!H33)</f>
      </c>
      <c r="Z156" s="61">
        <f>IF(SP128!V156="","",Spielereingabe!I33)</f>
      </c>
      <c r="AA156" s="62">
        <f>IF(SP128!V156="","",SP128!X27)</f>
      </c>
      <c r="AB156" s="62">
        <f>IF(SP128!V156="","",SP128!Z27)</f>
      </c>
      <c r="AC156" s="62">
        <f>IF(SP128!V156="","",SP128!AA27)</f>
      </c>
      <c r="AD156" s="62">
        <f>IF(SP128!V156="","",SP128!AC27)</f>
      </c>
      <c r="AE156" s="62">
        <f>IF(SP128!V156="","",SP128!AD27)</f>
      </c>
      <c r="AF156" s="235">
        <f>IF(SP128!V156="","",SP128!AE27)</f>
      </c>
      <c r="AG156" s="240"/>
      <c r="AH156" s="241"/>
      <c r="AM156" s="127"/>
      <c r="AO156" s="127"/>
      <c r="AP156" s="127"/>
      <c r="AQ156" s="127"/>
      <c r="AR156" s="127"/>
    </row>
    <row r="157" spans="3:44" ht="10.5" thickBot="1">
      <c r="C157" s="74">
        <v>155</v>
      </c>
      <c r="D157" s="96" t="str">
        <f>IF(D93="Verlierer 53","Sieger 91",IF(E93="Verlierer 54","Sieger 91",IF(D93=E93,"Freilos",IF(E93="Freilos",D93,IF(D93="Freilos",E93,IF(F93&gt;G93,D93,IF(G93&gt;F93,E93,"Sieger 91")))))))</f>
        <v>Sieger 91</v>
      </c>
      <c r="E157" s="97" t="str">
        <f>IF(D120="Sieger 43","Verlierer 118",IF(E120="Sieger 44","Verlierer 118",IF(D120=E120,"Freilos",IF(E120="Freilos",E120,IF(D120="Freilos",D120,IF(F120&gt;G120,E120,IF(G120&gt;F120,D120,"Verlierer 118")))))))</f>
        <v>Verlierer 118</v>
      </c>
      <c r="F157" s="128"/>
      <c r="G157" s="99"/>
      <c r="H157" s="100"/>
      <c r="I157" s="100"/>
      <c r="J157" s="100"/>
      <c r="K157" s="101"/>
      <c r="L157" s="71"/>
      <c r="M157" s="95">
        <f t="shared" si="45"/>
      </c>
      <c r="N157" s="48">
        <f t="shared" si="46"/>
        <v>0</v>
      </c>
      <c r="O157" s="48">
        <f t="shared" si="47"/>
        <v>0</v>
      </c>
      <c r="P157" s="48">
        <f t="shared" si="48"/>
        <v>0</v>
      </c>
      <c r="Q157" s="48">
        <f t="shared" si="49"/>
        <v>0</v>
      </c>
      <c r="R157" s="48">
        <f t="shared" si="50"/>
        <v>0</v>
      </c>
      <c r="S157" s="48">
        <f t="shared" si="51"/>
        <v>0</v>
      </c>
      <c r="T157" s="72">
        <f>IF(E152="Freilos",3,IF(F157&gt;G157,3,0))</f>
        <v>0</v>
      </c>
      <c r="U157" s="72">
        <f t="shared" si="52"/>
        <v>0</v>
      </c>
      <c r="V157" s="60">
        <f>IF(Spielereingabe!F34="","",26)</f>
      </c>
      <c r="W157" s="61">
        <f>IF(SP128!V157="","",Spielereingabe!F34)</f>
      </c>
      <c r="X157" s="61">
        <f>IF(SP128!V157="","",Spielereingabe!G34)</f>
      </c>
      <c r="Y157" s="61">
        <f>IF(SP128!V157="","",Spielereingabe!H34)</f>
      </c>
      <c r="Z157" s="61">
        <f>IF(SP128!V157="","",Spielereingabe!I34)</f>
      </c>
      <c r="AA157" s="62">
        <f>IF(SP128!V157="","",SP128!X28)</f>
      </c>
      <c r="AB157" s="62">
        <f>IF(SP128!V157="","",SP128!Z28)</f>
      </c>
      <c r="AC157" s="62">
        <f>IF(SP128!V157="","",SP128!AA28)</f>
      </c>
      <c r="AD157" s="62">
        <f>IF(SP128!V157="","",SP128!AC28)</f>
      </c>
      <c r="AE157" s="62">
        <f>IF(SP128!V157="","",SP128!AD28)</f>
      </c>
      <c r="AF157" s="235">
        <f>IF(SP128!V157="","",SP128!AE28)</f>
      </c>
      <c r="AG157" s="240"/>
      <c r="AH157" s="241"/>
      <c r="AM157" s="127"/>
      <c r="AO157" s="127"/>
      <c r="AP157" s="127"/>
      <c r="AQ157" s="127"/>
      <c r="AR157" s="127"/>
    </row>
    <row r="158" spans="3:44" ht="10.5" thickBot="1">
      <c r="C158" s="74">
        <v>156</v>
      </c>
      <c r="D158" s="96" t="str">
        <f>IF(D94="Verlierer 55","Sieger 92",IF(E94="Verlierer 56","Sieger 92",IF(D94=E94,"Freilos",IF(E94="Freilos",D94,IF(D94="Freilos",E94,IF(F94&gt;G94,D94,IF(G94&gt;F94,E94,"Sieger 92")))))))</f>
        <v>Sieger 92</v>
      </c>
      <c r="E158" s="97" t="str">
        <f>IF(D119="Sieger 41","Verlierer 117",IF(E119="Sieger 42","Verlierer 117",IF(D119=E119,"Freilos",IF(E119="Freilos",E119,IF(D119="Freilos",D119,IF(F119&gt;G119,E119,IF(G119&gt;F119,D119,"Verlierer 117")))))))</f>
        <v>Verlierer 117</v>
      </c>
      <c r="F158" s="128"/>
      <c r="G158" s="99"/>
      <c r="H158" s="100"/>
      <c r="I158" s="100"/>
      <c r="J158" s="100"/>
      <c r="K158" s="101"/>
      <c r="L158" s="71"/>
      <c r="M158" s="95">
        <f t="shared" si="45"/>
      </c>
      <c r="N158" s="48">
        <f t="shared" si="46"/>
        <v>0</v>
      </c>
      <c r="O158" s="48">
        <f t="shared" si="47"/>
        <v>0</v>
      </c>
      <c r="P158" s="48">
        <f t="shared" si="48"/>
        <v>0</v>
      </c>
      <c r="Q158" s="48">
        <f t="shared" si="49"/>
        <v>0</v>
      </c>
      <c r="R158" s="48">
        <f t="shared" si="50"/>
        <v>0</v>
      </c>
      <c r="S158" s="48">
        <f t="shared" si="51"/>
        <v>0</v>
      </c>
      <c r="T158" s="72">
        <f>IF(E151="Freilos",3,IF(F158&gt;G158,3,0))</f>
        <v>0</v>
      </c>
      <c r="U158" s="72">
        <f t="shared" si="52"/>
        <v>0</v>
      </c>
      <c r="V158" s="60">
        <f>IF(Spielereingabe!F35="","",27)</f>
      </c>
      <c r="W158" s="61">
        <f>IF(SP128!V158="","",Spielereingabe!F35)</f>
      </c>
      <c r="X158" s="61">
        <f>IF(SP128!V158="","",Spielereingabe!G35)</f>
      </c>
      <c r="Y158" s="61">
        <f>IF(SP128!V158="","",Spielereingabe!H35)</f>
      </c>
      <c r="Z158" s="61">
        <f>IF(SP128!V158="","",Spielereingabe!I35)</f>
      </c>
      <c r="AA158" s="62">
        <f>IF(SP128!V158="","",SP128!X29)</f>
      </c>
      <c r="AB158" s="62">
        <f>IF(SP128!V158="","",SP128!Z29)</f>
      </c>
      <c r="AC158" s="62">
        <f>IF(SP128!V158="","",SP128!AA29)</f>
      </c>
      <c r="AD158" s="62">
        <f>IF(SP128!V158="","",SP128!AC29)</f>
      </c>
      <c r="AE158" s="62">
        <f>IF(SP128!V158="","",SP128!AD29)</f>
      </c>
      <c r="AF158" s="235">
        <f>IF(SP128!V158="","",SP128!AE29)</f>
      </c>
      <c r="AG158" s="240"/>
      <c r="AH158" s="241"/>
      <c r="AM158" s="127"/>
      <c r="AO158" s="127"/>
      <c r="AP158" s="127"/>
      <c r="AQ158" s="127"/>
      <c r="AR158" s="127"/>
    </row>
    <row r="159" spans="3:44" ht="10.5" thickBot="1">
      <c r="C159" s="74">
        <v>157</v>
      </c>
      <c r="D159" s="96" t="str">
        <f>IF(D95="Verlierer 57","Sieger 93",IF(E95="Verlierer 58","Sieger 93",IF(D95=E95,"Freilos",IF(E95="Freilos",D95,IF(D95="Freilos",E95,IF(F95&gt;G95,D95,IF(G95&gt;F95,E95,"Sieger 93")))))))</f>
        <v>Sieger 93</v>
      </c>
      <c r="E159" s="97" t="str">
        <f>IF(D118="Sieger 39","Verlierer 116",IF(E118="Sieger 40","Verlierer 116",IF(D118=E118,"Freilos",IF(E118="Freilos",E118,IF(D118="Freilos",D118,IF(F118&gt;G118,E118,IF(G118&gt;F118,D118,"Verlierer 116")))))))</f>
        <v>Verlierer 116</v>
      </c>
      <c r="F159" s="128"/>
      <c r="G159" s="99"/>
      <c r="H159" s="100"/>
      <c r="I159" s="100"/>
      <c r="J159" s="100"/>
      <c r="K159" s="101"/>
      <c r="L159" s="71"/>
      <c r="M159" s="95">
        <f t="shared" si="45"/>
      </c>
      <c r="N159" s="48">
        <f t="shared" si="46"/>
        <v>0</v>
      </c>
      <c r="O159" s="48">
        <f t="shared" si="47"/>
        <v>0</v>
      </c>
      <c r="P159" s="48">
        <f t="shared" si="48"/>
        <v>0</v>
      </c>
      <c r="Q159" s="48">
        <f t="shared" si="49"/>
        <v>0</v>
      </c>
      <c r="R159" s="48">
        <f t="shared" si="50"/>
        <v>0</v>
      </c>
      <c r="S159" s="48">
        <f t="shared" si="51"/>
        <v>0</v>
      </c>
      <c r="T159" s="72">
        <f>IF(E150="Freilos",3,IF(F159&gt;G159,3,0))</f>
        <v>0</v>
      </c>
      <c r="U159" s="72">
        <f t="shared" si="52"/>
        <v>0</v>
      </c>
      <c r="V159" s="60">
        <f>IF(Spielereingabe!F36="","",28)</f>
      </c>
      <c r="W159" s="61">
        <f>IF(SP128!V159="","",Spielereingabe!F36)</f>
      </c>
      <c r="X159" s="61">
        <f>IF(SP128!V159="","",Spielereingabe!G36)</f>
      </c>
      <c r="Y159" s="61">
        <f>IF(SP128!V159="","",Spielereingabe!H36)</f>
      </c>
      <c r="Z159" s="61">
        <f>IF(SP128!V159="","",Spielereingabe!I36)</f>
      </c>
      <c r="AA159" s="62">
        <f>IF(SP128!V159="","",SP128!X30)</f>
      </c>
      <c r="AB159" s="62">
        <f>IF(SP128!V159="","",SP128!Z30)</f>
      </c>
      <c r="AC159" s="62">
        <f>IF(SP128!V159="","",SP128!AA30)</f>
      </c>
      <c r="AD159" s="62">
        <f>IF(SP128!V159="","",SP128!AC30)</f>
      </c>
      <c r="AE159" s="62">
        <f>IF(SP128!V159="","",SP128!AD30)</f>
      </c>
      <c r="AF159" s="235">
        <f>IF(SP128!V159="","",SP128!AE30)</f>
      </c>
      <c r="AG159" s="240"/>
      <c r="AH159" s="241"/>
      <c r="AM159" s="127"/>
      <c r="AO159" s="127"/>
      <c r="AP159" s="127"/>
      <c r="AQ159" s="127"/>
      <c r="AR159" s="127"/>
    </row>
    <row r="160" spans="3:44" ht="10.5" thickBot="1">
      <c r="C160" s="74">
        <v>158</v>
      </c>
      <c r="D160" s="96" t="str">
        <f>IF(D96="Verlierer 59","Sieger 94",IF(E96="Verlierer 60","Sieger 94",IF(D96=E96,"Freilos",IF(E96="Freilos",D96,IF(D96="Freilos",E96,IF(F96&gt;G96,D96,IF(G96&gt;F96,E96,"Sieger 94")))))))</f>
        <v>Sieger 94</v>
      </c>
      <c r="E160" s="97" t="str">
        <f>IF(D117="Sieger 37","Verlierer 115",IF(E117="Sieger 38","Verlierer 115",IF(D117=E117,"Freilos",IF(E117="Freilos",E117,IF(D117="Freilos",D117,IF(F117&gt;G117,E117,IF(G117&gt;F117,D117,"Verlierer 115")))))))</f>
        <v>Verlierer 115</v>
      </c>
      <c r="F160" s="128"/>
      <c r="G160" s="99"/>
      <c r="H160" s="100"/>
      <c r="I160" s="100"/>
      <c r="J160" s="100"/>
      <c r="K160" s="101"/>
      <c r="L160" s="71"/>
      <c r="M160" s="95">
        <f t="shared" si="45"/>
      </c>
      <c r="N160" s="48">
        <f t="shared" si="46"/>
        <v>0</v>
      </c>
      <c r="O160" s="48">
        <f t="shared" si="47"/>
        <v>0</v>
      </c>
      <c r="P160" s="48">
        <f t="shared" si="48"/>
        <v>0</v>
      </c>
      <c r="Q160" s="48">
        <f t="shared" si="49"/>
        <v>0</v>
      </c>
      <c r="R160" s="48">
        <f t="shared" si="50"/>
        <v>0</v>
      </c>
      <c r="S160" s="48">
        <f t="shared" si="51"/>
        <v>0</v>
      </c>
      <c r="T160" s="72">
        <f>IF(E149="Freilos",3,IF(F160&gt;G160,3,0))</f>
        <v>0</v>
      </c>
      <c r="U160" s="72">
        <f t="shared" si="52"/>
        <v>0</v>
      </c>
      <c r="V160" s="60">
        <f>IF(Spielereingabe!F37="","",29)</f>
      </c>
      <c r="W160" s="61">
        <f>IF(SP128!V160="","",Spielereingabe!F37)</f>
      </c>
      <c r="X160" s="61">
        <f>IF(SP128!V160="","",Spielereingabe!G37)</f>
      </c>
      <c r="Y160" s="61">
        <f>IF(SP128!V160="","",Spielereingabe!H37)</f>
      </c>
      <c r="Z160" s="61">
        <f>IF(SP128!V160="","",Spielereingabe!I37)</f>
      </c>
      <c r="AA160" s="62">
        <f>IF(SP128!V160="","",SP128!X31)</f>
      </c>
      <c r="AB160" s="62">
        <f>IF(SP128!V160="","",SP128!Z31)</f>
      </c>
      <c r="AC160" s="62">
        <f>IF(SP128!V160="","",SP128!AA31)</f>
      </c>
      <c r="AD160" s="62">
        <f>IF(SP128!V160="","",SP128!AC31)</f>
      </c>
      <c r="AE160" s="62">
        <f>IF(SP128!V160="","",SP128!AD31)</f>
      </c>
      <c r="AF160" s="235">
        <f>IF(SP128!V160="","",SP128!AE31)</f>
      </c>
      <c r="AG160" s="240"/>
      <c r="AH160" s="241"/>
      <c r="AM160" s="127"/>
      <c r="AO160" s="127"/>
      <c r="AP160" s="127"/>
      <c r="AQ160" s="127"/>
      <c r="AR160" s="127"/>
    </row>
    <row r="161" spans="3:44" ht="10.5" thickBot="1">
      <c r="C161" s="74">
        <v>159</v>
      </c>
      <c r="D161" s="96" t="str">
        <f>IF(D97="Verlierer 61","Sieger 95",IF(E97="Verlierer 62","Sieger 95",IF(D97=E97,"Freilos",IF(E97="Freilos",D97,IF(D97="Freilos",E97,IF(F97&gt;G97,D97,IF(G97&gt;F97,E97,"Sieger 95")))))))</f>
        <v>Sieger 95</v>
      </c>
      <c r="E161" s="97" t="str">
        <f>IF(D116="Sieger 35","Verlierer 114",IF(E116="Sieger 36","Verlierer 114",IF(D116=E116,"Freilos",IF(E116="Freilos",E116,IF(D116="Freilos",D116,IF(F116&gt;G116,E116,IF(G116&gt;F116,D116,"Verlierer 114")))))))</f>
        <v>Verlierer 114</v>
      </c>
      <c r="F161" s="128"/>
      <c r="G161" s="99"/>
      <c r="H161" s="100"/>
      <c r="I161" s="100"/>
      <c r="J161" s="100"/>
      <c r="K161" s="101"/>
      <c r="L161" s="71"/>
      <c r="M161" s="95">
        <f t="shared" si="45"/>
      </c>
      <c r="N161" s="48">
        <f t="shared" si="46"/>
        <v>0</v>
      </c>
      <c r="O161" s="48">
        <f t="shared" si="47"/>
        <v>0</v>
      </c>
      <c r="P161" s="48">
        <f t="shared" si="48"/>
        <v>0</v>
      </c>
      <c r="Q161" s="48">
        <f t="shared" si="49"/>
        <v>0</v>
      </c>
      <c r="R161" s="48">
        <f t="shared" si="50"/>
        <v>0</v>
      </c>
      <c r="S161" s="48">
        <f t="shared" si="51"/>
        <v>0</v>
      </c>
      <c r="T161" s="72">
        <f>IF(E148="Freilos",3,IF(F161&gt;G161,3,0))</f>
        <v>0</v>
      </c>
      <c r="U161" s="72">
        <f t="shared" si="52"/>
        <v>0</v>
      </c>
      <c r="V161" s="60">
        <f>IF(Spielereingabe!F38="","",30)</f>
      </c>
      <c r="W161" s="61">
        <f>IF(SP128!V161="","",Spielereingabe!F38)</f>
      </c>
      <c r="X161" s="61">
        <f>IF(SP128!V161="","",Spielereingabe!G38)</f>
      </c>
      <c r="Y161" s="61">
        <f>IF(SP128!V161="","",Spielereingabe!H38)</f>
      </c>
      <c r="Z161" s="61">
        <f>IF(SP128!V161="","",Spielereingabe!I38)</f>
      </c>
      <c r="AA161" s="62">
        <f>IF(SP128!V161="","",SP128!X32)</f>
      </c>
      <c r="AB161" s="62">
        <f>IF(SP128!V161="","",SP128!Z32)</f>
      </c>
      <c r="AC161" s="62">
        <f>IF(SP128!V161="","",SP128!AA32)</f>
      </c>
      <c r="AD161" s="62">
        <f>IF(SP128!V161="","",SP128!AC32)</f>
      </c>
      <c r="AE161" s="62">
        <f>IF(SP128!V161="","",SP128!AD32)</f>
      </c>
      <c r="AF161" s="235">
        <f>IF(SP128!V161="","",SP128!AE32)</f>
      </c>
      <c r="AG161" s="240"/>
      <c r="AH161" s="241"/>
      <c r="AM161" s="127"/>
      <c r="AO161" s="127"/>
      <c r="AP161" s="127"/>
      <c r="AQ161" s="127"/>
      <c r="AR161" s="127"/>
    </row>
    <row r="162" spans="3:44" ht="10.5" thickBot="1">
      <c r="C162" s="81">
        <v>160</v>
      </c>
      <c r="D162" s="102" t="str">
        <f>IF(D98="Verlierer 63","Sieger 96",IF(E98="Verlierer 64","Sieger 96",IF(D98=E98,"Freilos",IF(E98="Freilos",D98,IF(D98="Freilos",E98,IF(F98&gt;G98,D98,IF(G98&gt;F98,E98,"Sieger 96")))))))</f>
        <v>Sieger 96</v>
      </c>
      <c r="E162" s="103" t="str">
        <f>IF(D115="Sieger 33","Verlierer 113",IF(E115="Sieger 34","Verlierer 113",IF(D115=E115,"Freilos",IF(E115="Freilos",E115,IF(D115="Freilos",D115,IF(F115&gt;G115,E115,IF(G115&gt;F115,D115,"Verlierer 113")))))))</f>
        <v>Verlierer 113</v>
      </c>
      <c r="F162" s="132"/>
      <c r="G162" s="105"/>
      <c r="H162" s="106"/>
      <c r="I162" s="106"/>
      <c r="J162" s="106"/>
      <c r="K162" s="107"/>
      <c r="L162" s="71"/>
      <c r="M162" s="95">
        <f t="shared" si="45"/>
      </c>
      <c r="N162" s="48">
        <f t="shared" si="46"/>
        <v>0</v>
      </c>
      <c r="O162" s="48">
        <f t="shared" si="47"/>
        <v>0</v>
      </c>
      <c r="P162" s="48">
        <f t="shared" si="48"/>
        <v>0</v>
      </c>
      <c r="Q162" s="48">
        <f t="shared" si="49"/>
        <v>0</v>
      </c>
      <c r="R162" s="48">
        <f t="shared" si="50"/>
        <v>0</v>
      </c>
      <c r="S162" s="48">
        <f t="shared" si="51"/>
        <v>0</v>
      </c>
      <c r="T162" s="72">
        <f>IF(E147="Freilos",3,IF(F162&gt;G162,3,0))</f>
        <v>0</v>
      </c>
      <c r="U162" s="72">
        <f t="shared" si="52"/>
        <v>0</v>
      </c>
      <c r="V162" s="60">
        <f>IF(Spielereingabe!F39="","",31)</f>
      </c>
      <c r="W162" s="61">
        <f>IF(SP128!V162="","",Spielereingabe!F39)</f>
      </c>
      <c r="X162" s="61">
        <f>IF(SP128!V162="","",Spielereingabe!G39)</f>
      </c>
      <c r="Y162" s="61">
        <f>IF(SP128!V162="","",Spielereingabe!H39)</f>
      </c>
      <c r="Z162" s="61">
        <f>IF(SP128!V162="","",Spielereingabe!I39)</f>
      </c>
      <c r="AA162" s="62">
        <f>IF(SP128!V162="","",SP128!X33)</f>
      </c>
      <c r="AB162" s="62">
        <f>IF(SP128!V162="","",SP128!Z33)</f>
      </c>
      <c r="AC162" s="62">
        <f>IF(SP128!V162="","",SP128!AA33)</f>
      </c>
      <c r="AD162" s="62">
        <f>IF(SP128!V162="","",SP128!AC33)</f>
      </c>
      <c r="AE162" s="62">
        <f>IF(SP128!V162="","",SP128!AD33)</f>
      </c>
      <c r="AF162" s="235">
        <f>IF(SP128!V162="","",SP128!AE33)</f>
      </c>
      <c r="AG162" s="240"/>
      <c r="AH162" s="241"/>
      <c r="AM162" s="127"/>
      <c r="AO162" s="127"/>
      <c r="AP162" s="127"/>
      <c r="AQ162" s="127"/>
      <c r="AR162" s="127"/>
    </row>
    <row r="163" spans="2:44" ht="10.5" thickBot="1">
      <c r="B163" s="88" t="s">
        <v>29</v>
      </c>
      <c r="C163" s="74">
        <v>161</v>
      </c>
      <c r="D163" s="133" t="str">
        <f>IF(D131="Sieger 65","Sieger 129",IF(E131="Verlierer 112","Sieger 129",IF(D131=E131,"Freilos",IF(E131="Freilos",D131,IF(D131="Freilos",E131,IF(F131&gt;G131,D131,IF(G131&gt;F131,E131,"Sieger 129")))))))</f>
        <v>Sieger 129</v>
      </c>
      <c r="E163" s="134" t="str">
        <f>IF(D132="Sieger 66","Sieger 130",IF(E132="Verlierer 111","Sieger 130",IF(D132=E132,"Freilos",IF(E132="Freilos",D132,IF(D132="Freilos",E132,IF(F132&gt;G132,D132,IF(G132&gt;F132,E132,"Sieger 130")))))))</f>
        <v>Sieger 130</v>
      </c>
      <c r="F163" s="91"/>
      <c r="G163" s="92"/>
      <c r="H163" s="93"/>
      <c r="I163" s="93"/>
      <c r="J163" s="93"/>
      <c r="K163" s="94"/>
      <c r="L163" s="71"/>
      <c r="M163" s="95">
        <f t="shared" si="45"/>
      </c>
      <c r="N163" s="48">
        <f t="shared" si="46"/>
        <v>0</v>
      </c>
      <c r="O163" s="48">
        <f t="shared" si="47"/>
        <v>0</v>
      </c>
      <c r="P163" s="48">
        <f t="shared" si="48"/>
        <v>0</v>
      </c>
      <c r="Q163" s="48">
        <f t="shared" si="49"/>
        <v>0</v>
      </c>
      <c r="R163" s="48">
        <f t="shared" si="50"/>
        <v>0</v>
      </c>
      <c r="S163" s="48">
        <f t="shared" si="51"/>
        <v>0</v>
      </c>
      <c r="T163" s="72">
        <f aca="true" t="shared" si="53" ref="T163:T178">IF(E163="Freilos",3,IF(F163&gt;G163,3,0))</f>
        <v>0</v>
      </c>
      <c r="U163" s="72">
        <f t="shared" si="52"/>
        <v>0</v>
      </c>
      <c r="V163" s="60">
        <f>IF(Spielereingabe!F40="","",32)</f>
      </c>
      <c r="W163" s="61">
        <f>IF(SP128!V163="","",Spielereingabe!F40)</f>
      </c>
      <c r="X163" s="61">
        <f>IF(SP128!V163="","",Spielereingabe!G40)</f>
      </c>
      <c r="Y163" s="61">
        <f>IF(SP128!V163="","",Spielereingabe!H40)</f>
      </c>
      <c r="Z163" s="61">
        <f>IF(SP128!V163="","",Spielereingabe!I40)</f>
      </c>
      <c r="AA163" s="62">
        <f>IF(SP128!V163="","",SP128!X34)</f>
      </c>
      <c r="AB163" s="62">
        <f>IF(SP128!V163="","",SP128!Z34)</f>
      </c>
      <c r="AC163" s="62">
        <f>IF(SP128!V163="","",SP128!AA34)</f>
      </c>
      <c r="AD163" s="62">
        <f>IF(SP128!V163="","",SP128!AC34)</f>
      </c>
      <c r="AE163" s="62">
        <f>IF(SP128!V163="","",SP128!AD34)</f>
      </c>
      <c r="AF163" s="235">
        <f>IF(SP128!V163="","",SP128!AE34)</f>
      </c>
      <c r="AG163" s="240"/>
      <c r="AH163" s="241"/>
      <c r="AM163" s="127"/>
      <c r="AO163" s="127"/>
      <c r="AP163" s="127"/>
      <c r="AQ163" s="127"/>
      <c r="AR163" s="127"/>
    </row>
    <row r="164" spans="3:44" ht="10.5" thickBot="1">
      <c r="C164" s="74">
        <v>162</v>
      </c>
      <c r="D164" s="133" t="str">
        <f>IF(D133="Sieger 67","Sieger 131",IF(E133="Verlierer 110","Sieger 131",IF(D133=E133,"Freilos",IF(E133="Freilos",D133,IF(D133="Freilos",E133,IF(F133&gt;G133,D133,IF(G133&gt;F133,E133,"Sieger 131")))))))</f>
        <v>Sieger 131</v>
      </c>
      <c r="E164" s="134" t="str">
        <f>IF(D134="Sieger 68","Sieger 132",IF(E134="Verlierer 109","Sieger 132",IF(D134=E134,"Freilos",IF(E134="Freilos",D134,IF(D134="Freilos",E134,IF(F134&gt;G134,D134,IF(G134&gt;F134,E134,"Sieger 132")))))))</f>
        <v>Sieger 132</v>
      </c>
      <c r="F164" s="98"/>
      <c r="G164" s="99"/>
      <c r="H164" s="100"/>
      <c r="I164" s="100"/>
      <c r="J164" s="100"/>
      <c r="K164" s="101"/>
      <c r="L164" s="71"/>
      <c r="M164" s="95">
        <f t="shared" si="45"/>
      </c>
      <c r="N164" s="48">
        <f t="shared" si="46"/>
        <v>0</v>
      </c>
      <c r="O164" s="48">
        <f t="shared" si="47"/>
        <v>0</v>
      </c>
      <c r="P164" s="48">
        <f t="shared" si="48"/>
        <v>0</v>
      </c>
      <c r="Q164" s="48">
        <f t="shared" si="49"/>
        <v>0</v>
      </c>
      <c r="R164" s="48">
        <f t="shared" si="50"/>
        <v>0</v>
      </c>
      <c r="S164" s="48">
        <f t="shared" si="51"/>
        <v>0</v>
      </c>
      <c r="T164" s="72">
        <f t="shared" si="53"/>
        <v>0</v>
      </c>
      <c r="U164" s="72">
        <f t="shared" si="52"/>
        <v>0</v>
      </c>
      <c r="V164" s="60">
        <f>IF(Spielereingabe!F41="","",33)</f>
      </c>
      <c r="W164" s="61">
        <f>IF(SP128!V164="","",Spielereingabe!F41)</f>
      </c>
      <c r="X164" s="61">
        <f>IF(SP128!V164="","",Spielereingabe!G41)</f>
      </c>
      <c r="Y164" s="61">
        <f>IF(SP128!V164="","",Spielereingabe!H41)</f>
      </c>
      <c r="Z164" s="61">
        <f>IF(SP128!V164="","",Spielereingabe!I41)</f>
      </c>
      <c r="AA164" s="62">
        <f>IF(SP128!V164="","",SP128!X35)</f>
      </c>
      <c r="AB164" s="62">
        <f>IF(SP128!V164="","",SP128!Z35)</f>
      </c>
      <c r="AC164" s="62">
        <f>IF(SP128!V164="","",SP128!AA35)</f>
      </c>
      <c r="AD164" s="62">
        <f>IF(SP128!V164="","",SP128!AC35)</f>
      </c>
      <c r="AE164" s="62">
        <f>IF(SP128!V164="","",SP128!AD35)</f>
      </c>
      <c r="AF164" s="235">
        <f>IF(SP128!V164="","",SP128!AE35)</f>
      </c>
      <c r="AG164" s="240"/>
      <c r="AH164" s="241"/>
      <c r="AM164" s="127"/>
      <c r="AO164" s="127"/>
      <c r="AP164" s="127"/>
      <c r="AQ164" s="127"/>
      <c r="AR164" s="127"/>
    </row>
    <row r="165" spans="3:44" ht="10.5" thickBot="1">
      <c r="C165" s="74">
        <v>163</v>
      </c>
      <c r="D165" s="133" t="str">
        <f>IF(D135="Sieger 69","Sieger 133",IF(E135="Verlierer 108","Sieger 133",IF(D135=E135,"Freilos",IF(E135="Freilos",D135,IF(D135="Freilos",E135,IF(F135&gt;G135,D135,IF(G135&gt;F135,E135,"Sieger 133")))))))</f>
        <v>Sieger 133</v>
      </c>
      <c r="E165" s="134" t="str">
        <f>IF(D136="Sieger 70","Sieger 134",IF(E136="Verlierer 107","Sieger 134",IF(D136=E136,"Freilos",IF(E136="Freilos",D136,IF(D136="Freilos",E136,IF(F136&gt;G136,D136,IF(G136&gt;F136,E136,"Sieger 134")))))))</f>
        <v>Sieger 134</v>
      </c>
      <c r="F165" s="98"/>
      <c r="G165" s="99"/>
      <c r="H165" s="100"/>
      <c r="I165" s="100"/>
      <c r="J165" s="100"/>
      <c r="K165" s="101"/>
      <c r="L165" s="71"/>
      <c r="M165" s="95">
        <f t="shared" si="45"/>
      </c>
      <c r="N165" s="48">
        <f t="shared" si="46"/>
        <v>0</v>
      </c>
      <c r="O165" s="48">
        <f t="shared" si="47"/>
        <v>0</v>
      </c>
      <c r="P165" s="48">
        <f t="shared" si="48"/>
        <v>0</v>
      </c>
      <c r="Q165" s="48">
        <f t="shared" si="49"/>
        <v>0</v>
      </c>
      <c r="R165" s="48">
        <f t="shared" si="50"/>
        <v>0</v>
      </c>
      <c r="S165" s="48">
        <f t="shared" si="51"/>
        <v>0</v>
      </c>
      <c r="T165" s="72">
        <f t="shared" si="53"/>
        <v>0</v>
      </c>
      <c r="U165" s="72">
        <f t="shared" si="52"/>
        <v>0</v>
      </c>
      <c r="V165" s="60">
        <f>IF(Spielereingabe!F42="","",34)</f>
      </c>
      <c r="W165" s="61">
        <f>IF(SP128!V165="","",Spielereingabe!F42)</f>
      </c>
      <c r="X165" s="61">
        <f>IF(SP128!V165="","",Spielereingabe!G42)</f>
      </c>
      <c r="Y165" s="61">
        <f>IF(SP128!V165="","",Spielereingabe!H42)</f>
      </c>
      <c r="Z165" s="61">
        <f>IF(SP128!V165="","",Spielereingabe!I42)</f>
      </c>
      <c r="AA165" s="62">
        <f>IF(SP128!V165="","",SP128!X36)</f>
      </c>
      <c r="AB165" s="62">
        <f>IF(SP128!V165="","",SP128!Z36)</f>
      </c>
      <c r="AC165" s="62">
        <f>IF(SP128!V165="","",SP128!AA36)</f>
      </c>
      <c r="AD165" s="62">
        <f>IF(SP128!V165="","",SP128!AC36)</f>
      </c>
      <c r="AE165" s="62">
        <f>IF(SP128!V165="","",SP128!AD36)</f>
      </c>
      <c r="AF165" s="235">
        <f>IF(SP128!V165="","",SP128!AE36)</f>
      </c>
      <c r="AG165" s="240"/>
      <c r="AH165" s="241"/>
      <c r="AM165" s="127"/>
      <c r="AO165" s="127"/>
      <c r="AP165" s="127"/>
      <c r="AQ165" s="127"/>
      <c r="AR165" s="127"/>
    </row>
    <row r="166" spans="3:44" ht="10.5" thickBot="1">
      <c r="C166" s="74">
        <v>164</v>
      </c>
      <c r="D166" s="133" t="str">
        <f>IF(D137="Sieger 71","Sieger 135",IF(E137="Verlierer 106","Sieger 135",IF(D137=E137,"Freilos",IF(E137="Freilos",D137,IF(D137="Freilos",E137,IF(F137&gt;G137,D137,IF(G137&gt;F137,E137,"Sieger 135")))))))</f>
        <v>Sieger 135</v>
      </c>
      <c r="E166" s="134" t="str">
        <f>IF(D138="Sieger 72","Sieger 136",IF(E138="Verlierer 105","Sieger 136",IF(D138=E138,"Freilos",IF(E138="Freilos",D138,IF(D138="Freilos",E138,IF(F138&gt;G138,D138,IF(G138&gt;F138,E138,"Sieger 136")))))))</f>
        <v>Sieger 136</v>
      </c>
      <c r="F166" s="98"/>
      <c r="G166" s="99"/>
      <c r="H166" s="100"/>
      <c r="I166" s="100"/>
      <c r="J166" s="100"/>
      <c r="K166" s="101"/>
      <c r="L166" s="71"/>
      <c r="M166" s="95">
        <f t="shared" si="45"/>
      </c>
      <c r="N166" s="48">
        <f t="shared" si="46"/>
        <v>0</v>
      </c>
      <c r="O166" s="48">
        <f t="shared" si="47"/>
        <v>0</v>
      </c>
      <c r="P166" s="48">
        <f t="shared" si="48"/>
        <v>0</v>
      </c>
      <c r="Q166" s="48">
        <f t="shared" si="49"/>
        <v>0</v>
      </c>
      <c r="R166" s="48">
        <f t="shared" si="50"/>
        <v>0</v>
      </c>
      <c r="S166" s="48">
        <f t="shared" si="51"/>
        <v>0</v>
      </c>
      <c r="T166" s="72">
        <f t="shared" si="53"/>
        <v>0</v>
      </c>
      <c r="U166" s="72">
        <f t="shared" si="52"/>
        <v>0</v>
      </c>
      <c r="V166" s="60">
        <f>IF(Spielereingabe!F43="","",35)</f>
      </c>
      <c r="W166" s="61">
        <f>IF(SP128!V166="","",Spielereingabe!F43)</f>
      </c>
      <c r="X166" s="61">
        <f>IF(SP128!V166="","",Spielereingabe!G43)</f>
      </c>
      <c r="Y166" s="61">
        <f>IF(SP128!V166="","",Spielereingabe!H43)</f>
      </c>
      <c r="Z166" s="61">
        <f>IF(SP128!V166="","",Spielereingabe!I43)</f>
      </c>
      <c r="AA166" s="62">
        <f>IF(SP128!V166="","",SP128!X37)</f>
      </c>
      <c r="AB166" s="62">
        <f>IF(SP128!V166="","",SP128!Z37)</f>
      </c>
      <c r="AC166" s="62">
        <f>IF(SP128!V166="","",SP128!AA37)</f>
      </c>
      <c r="AD166" s="62">
        <f>IF(SP128!V166="","",SP128!AC37)</f>
      </c>
      <c r="AE166" s="62">
        <f>IF(SP128!V166="","",SP128!AD37)</f>
      </c>
      <c r="AF166" s="235">
        <f>IF(SP128!V166="","",SP128!AE37)</f>
      </c>
      <c r="AG166" s="240"/>
      <c r="AH166" s="241"/>
      <c r="AM166" s="127"/>
      <c r="AO166" s="127"/>
      <c r="AP166" s="127"/>
      <c r="AQ166" s="127"/>
      <c r="AR166" s="127"/>
    </row>
    <row r="167" spans="3:44" ht="10.5" thickBot="1">
      <c r="C167" s="74">
        <v>165</v>
      </c>
      <c r="D167" s="133" t="str">
        <f>IF(D139="Sieger 73","Sieger 137",IF(E139="Verlierer 104","Sieger 137",IF(D139=E139,"Freilos",IF(E139="Freilos",D139,IF(D139="Freilos",E139,IF(F139&gt;G139,D139,IF(G139&gt;F139,E139,"Sieger 137")))))))</f>
        <v>Sieger 137</v>
      </c>
      <c r="E167" s="134" t="str">
        <f>IF(D140="Sieger 74","Sieger 138",IF(E140="Verlierer 103","Sieger 138",IF(D140=E140,"Freilos",IF(E140="Freilos",D140,IF(D140="Freilos",E140,IF(F140&gt;G140,D140,IF(G140&gt;F140,E140,"Sieger 138")))))))</f>
        <v>Sieger 138</v>
      </c>
      <c r="F167" s="98"/>
      <c r="G167" s="99"/>
      <c r="H167" s="100"/>
      <c r="I167" s="100"/>
      <c r="J167" s="100"/>
      <c r="K167" s="101"/>
      <c r="L167" s="71"/>
      <c r="M167" s="95">
        <f t="shared" si="45"/>
      </c>
      <c r="N167" s="48">
        <f t="shared" si="46"/>
        <v>0</v>
      </c>
      <c r="O167" s="48">
        <f t="shared" si="47"/>
        <v>0</v>
      </c>
      <c r="P167" s="48">
        <f t="shared" si="48"/>
        <v>0</v>
      </c>
      <c r="Q167" s="48">
        <f t="shared" si="49"/>
        <v>0</v>
      </c>
      <c r="R167" s="48">
        <f t="shared" si="50"/>
        <v>0</v>
      </c>
      <c r="S167" s="48">
        <f t="shared" si="51"/>
        <v>0</v>
      </c>
      <c r="T167" s="72">
        <f t="shared" si="53"/>
        <v>0</v>
      </c>
      <c r="U167" s="72">
        <f t="shared" si="52"/>
        <v>0</v>
      </c>
      <c r="V167" s="60">
        <f>IF(Spielereingabe!F44="","",36)</f>
      </c>
      <c r="W167" s="61">
        <f>IF(SP128!V167="","",Spielereingabe!F44)</f>
      </c>
      <c r="X167" s="61">
        <f>IF(SP128!V167="","",Spielereingabe!G44)</f>
      </c>
      <c r="Y167" s="61">
        <f>IF(SP128!V167="","",Spielereingabe!H44)</f>
      </c>
      <c r="Z167" s="61">
        <f>IF(SP128!V167="","",Spielereingabe!I44)</f>
      </c>
      <c r="AA167" s="62">
        <f>IF(SP128!V167="","",SP128!X38)</f>
      </c>
      <c r="AB167" s="62">
        <f>IF(SP128!V167="","",SP128!Z38)</f>
      </c>
      <c r="AC167" s="62">
        <f>IF(SP128!V167="","",SP128!AA38)</f>
      </c>
      <c r="AD167" s="62">
        <f>IF(SP128!V167="","",SP128!AC38)</f>
      </c>
      <c r="AE167" s="62">
        <f>IF(SP128!V167="","",SP128!AD38)</f>
      </c>
      <c r="AF167" s="235">
        <f>IF(SP128!V167="","",SP128!AE38)</f>
      </c>
      <c r="AG167" s="240"/>
      <c r="AH167" s="241"/>
      <c r="AM167" s="127"/>
      <c r="AO167" s="127"/>
      <c r="AP167" s="127"/>
      <c r="AQ167" s="127"/>
      <c r="AR167" s="127"/>
    </row>
    <row r="168" spans="3:44" ht="10.5" thickBot="1">
      <c r="C168" s="74">
        <v>166</v>
      </c>
      <c r="D168" s="133" t="str">
        <f>IF(D141="Sieger 75","Sieger 139",IF(E141="Verlierer 102","Sieger 139",IF(D141=E141,"Freilos",IF(E141="Freilos",D141,IF(D141="Freilos",E141,IF(F141&gt;G141,D141,IF(G141&gt;F141,E141,"Sieger 139")))))))</f>
        <v>Sieger 139</v>
      </c>
      <c r="E168" s="134" t="str">
        <f>IF(D142="Sieger 76","Sieger 140",IF(E142="Verlierer 101","Sieger 140",IF(D142=E142,"Freilos",IF(E142="Freilos",D142,IF(D142="Freilos",E142,IF(F142&gt;G142,D142,IF(G142&gt;F142,E142,"Sieger 140")))))))</f>
        <v>Sieger 140</v>
      </c>
      <c r="F168" s="98"/>
      <c r="G168" s="99"/>
      <c r="H168" s="100"/>
      <c r="I168" s="100"/>
      <c r="J168" s="100"/>
      <c r="K168" s="101"/>
      <c r="L168" s="71"/>
      <c r="M168" s="95">
        <f t="shared" si="45"/>
      </c>
      <c r="N168" s="48">
        <f t="shared" si="46"/>
        <v>0</v>
      </c>
      <c r="O168" s="48">
        <f t="shared" si="47"/>
        <v>0</v>
      </c>
      <c r="P168" s="48">
        <f t="shared" si="48"/>
        <v>0</v>
      </c>
      <c r="Q168" s="48">
        <f t="shared" si="49"/>
        <v>0</v>
      </c>
      <c r="R168" s="48">
        <f t="shared" si="50"/>
        <v>0</v>
      </c>
      <c r="S168" s="48">
        <f t="shared" si="51"/>
        <v>0</v>
      </c>
      <c r="T168" s="72">
        <f t="shared" si="53"/>
        <v>0</v>
      </c>
      <c r="U168" s="72">
        <f t="shared" si="52"/>
        <v>0</v>
      </c>
      <c r="V168" s="60">
        <f>IF(Spielereingabe!F45="","",37)</f>
      </c>
      <c r="W168" s="61">
        <f>IF(SP128!V168="","",Spielereingabe!F45)</f>
      </c>
      <c r="X168" s="61">
        <f>IF(SP128!V168="","",Spielereingabe!G45)</f>
      </c>
      <c r="Y168" s="61">
        <f>IF(SP128!V168="","",Spielereingabe!H45)</f>
      </c>
      <c r="Z168" s="61">
        <f>IF(SP128!V168="","",Spielereingabe!I45)</f>
      </c>
      <c r="AA168" s="62">
        <f>IF(SP128!V168="","",SP128!X39)</f>
      </c>
      <c r="AB168" s="62">
        <f>IF(SP128!V168="","",SP128!Z39)</f>
      </c>
      <c r="AC168" s="62">
        <f>IF(SP128!V168="","",SP128!AA39)</f>
      </c>
      <c r="AD168" s="62">
        <f>IF(SP128!V168="","",SP128!AC39)</f>
      </c>
      <c r="AE168" s="62">
        <f>IF(SP128!V168="","",SP128!AD39)</f>
      </c>
      <c r="AF168" s="235">
        <f>IF(SP128!V168="","",SP128!AE39)</f>
      </c>
      <c r="AG168" s="240"/>
      <c r="AH168" s="241"/>
      <c r="AM168" s="127"/>
      <c r="AO168" s="127"/>
      <c r="AP168" s="127"/>
      <c r="AQ168" s="127"/>
      <c r="AR168" s="127"/>
    </row>
    <row r="169" spans="3:44" ht="10.5" thickBot="1">
      <c r="C169" s="74">
        <v>167</v>
      </c>
      <c r="D169" s="133" t="str">
        <f>IF(D143="Sieger 77","Sieger 141",IF(E143="Verlierer 100","Sieger 141",IF(D143=E143,"Freilos",IF(E143="Freilos",D143,IF(D143="Freilos",E143,IF(F143&gt;G143,D143,IF(G143&gt;F143,E143,"Sieger 141")))))))</f>
        <v>Sieger 141</v>
      </c>
      <c r="E169" s="134" t="str">
        <f>IF(D144="Sieger 78","Sieger 142",IF(E144="Verlierer 99","Sieger 142",IF(D144=E144,"Freilos",IF(E144="Freilos",D144,IF(D144="Freilos",E144,IF(F144&gt;G144,D144,IF(G144&gt;F144,E144,"Sieger 142")))))))</f>
        <v>Sieger 142</v>
      </c>
      <c r="F169" s="98"/>
      <c r="G169" s="99"/>
      <c r="H169" s="100"/>
      <c r="I169" s="100"/>
      <c r="J169" s="100"/>
      <c r="K169" s="101"/>
      <c r="L169" s="71"/>
      <c r="M169" s="95">
        <f t="shared" si="45"/>
      </c>
      <c r="N169" s="48">
        <f t="shared" si="46"/>
        <v>0</v>
      </c>
      <c r="O169" s="48">
        <f t="shared" si="47"/>
        <v>0</v>
      </c>
      <c r="P169" s="48">
        <f t="shared" si="48"/>
        <v>0</v>
      </c>
      <c r="Q169" s="48">
        <f t="shared" si="49"/>
        <v>0</v>
      </c>
      <c r="R169" s="48">
        <f t="shared" si="50"/>
        <v>0</v>
      </c>
      <c r="S169" s="48">
        <f t="shared" si="51"/>
        <v>0</v>
      </c>
      <c r="T169" s="72">
        <f t="shared" si="53"/>
        <v>0</v>
      </c>
      <c r="U169" s="72">
        <f t="shared" si="52"/>
        <v>0</v>
      </c>
      <c r="V169" s="60">
        <f>IF(Spielereingabe!F46="","",38)</f>
      </c>
      <c r="W169" s="61">
        <f>IF(SP128!V169="","",Spielereingabe!F46)</f>
      </c>
      <c r="X169" s="61">
        <f>IF(SP128!V169="","",Spielereingabe!G46)</f>
      </c>
      <c r="Y169" s="61">
        <f>IF(SP128!V169="","",Spielereingabe!H46)</f>
      </c>
      <c r="Z169" s="61">
        <f>IF(SP128!V169="","",Spielereingabe!I46)</f>
      </c>
      <c r="AA169" s="62">
        <f>IF(SP128!V169="","",SP128!X40)</f>
      </c>
      <c r="AB169" s="62">
        <f>IF(SP128!V169="","",SP128!Z40)</f>
      </c>
      <c r="AC169" s="62">
        <f>IF(SP128!V169="","",SP128!AA40)</f>
      </c>
      <c r="AD169" s="62">
        <f>IF(SP128!V169="","",SP128!AC40)</f>
      </c>
      <c r="AE169" s="62">
        <f>IF(SP128!V169="","",SP128!AD40)</f>
      </c>
      <c r="AF169" s="235">
        <f>IF(SP128!V169="","",SP128!AE40)</f>
      </c>
      <c r="AG169" s="240"/>
      <c r="AH169" s="241"/>
      <c r="AM169" s="127"/>
      <c r="AO169" s="127"/>
      <c r="AP169" s="127"/>
      <c r="AQ169" s="127"/>
      <c r="AR169" s="127"/>
    </row>
    <row r="170" spans="3:44" ht="10.5" thickBot="1">
      <c r="C170" s="74">
        <v>168</v>
      </c>
      <c r="D170" s="133" t="str">
        <f>IF(D145="Sieger 79","Sieger 143",IF(E145="Verlierer 98","Sieger 143",IF(D145=E145,"Freilos",IF(E145="Freilos",D145,IF(D145="Freilos",E145,IF(F145&gt;G145,D145,IF(G145&gt;F145,E145,"Sieger 143")))))))</f>
        <v>Sieger 143</v>
      </c>
      <c r="E170" s="134" t="str">
        <f>IF(D146="Sieger 80","Sieger 144",IF(E146="Verlierer 97","Sieger 144",IF(D146=E146,"Freilos",IF(E146="Freilos",D146,IF(D146="Freilos",E146,IF(F146&gt;G146,D146,IF(G146&gt;F146,E146,"Sieger 144")))))))</f>
        <v>Sieger 144</v>
      </c>
      <c r="F170" s="98"/>
      <c r="G170" s="99"/>
      <c r="H170" s="100"/>
      <c r="I170" s="100"/>
      <c r="J170" s="100"/>
      <c r="K170" s="101"/>
      <c r="L170" s="71"/>
      <c r="M170" s="95">
        <f t="shared" si="45"/>
      </c>
      <c r="N170" s="48">
        <f t="shared" si="46"/>
        <v>0</v>
      </c>
      <c r="O170" s="48">
        <f t="shared" si="47"/>
        <v>0</v>
      </c>
      <c r="P170" s="48">
        <f t="shared" si="48"/>
        <v>0</v>
      </c>
      <c r="Q170" s="48">
        <f t="shared" si="49"/>
        <v>0</v>
      </c>
      <c r="R170" s="48">
        <f t="shared" si="50"/>
        <v>0</v>
      </c>
      <c r="S170" s="48">
        <f t="shared" si="51"/>
        <v>0</v>
      </c>
      <c r="T170" s="72">
        <f t="shared" si="53"/>
        <v>0</v>
      </c>
      <c r="U170" s="72">
        <f t="shared" si="52"/>
        <v>0</v>
      </c>
      <c r="V170" s="60">
        <f>IF(Spielereingabe!F47="","",39)</f>
      </c>
      <c r="W170" s="61">
        <f>IF(SP128!V170="","",Spielereingabe!F47)</f>
      </c>
      <c r="X170" s="61">
        <f>IF(SP128!V170="","",Spielereingabe!G47)</f>
      </c>
      <c r="Y170" s="61">
        <f>IF(SP128!V170="","",Spielereingabe!H47)</f>
      </c>
      <c r="Z170" s="61">
        <f>IF(SP128!V170="","",Spielereingabe!I47)</f>
      </c>
      <c r="AA170" s="62">
        <f>IF(SP128!V170="","",SP128!X41)</f>
      </c>
      <c r="AB170" s="62">
        <f>IF(SP128!V170="","",SP128!Z41)</f>
      </c>
      <c r="AC170" s="62">
        <f>IF(SP128!V170="","",SP128!AA41)</f>
      </c>
      <c r="AD170" s="62">
        <f>IF(SP128!V170="","",SP128!AC41)</f>
      </c>
      <c r="AE170" s="62">
        <f>IF(SP128!V170="","",SP128!AD41)</f>
      </c>
      <c r="AF170" s="235">
        <f>IF(SP128!V170="","",SP128!AE41)</f>
      </c>
      <c r="AG170" s="240"/>
      <c r="AH170" s="241"/>
      <c r="AM170" s="127"/>
      <c r="AO170" s="127"/>
      <c r="AP170" s="127"/>
      <c r="AQ170" s="127"/>
      <c r="AR170" s="127"/>
    </row>
    <row r="171" spans="3:44" ht="10.5" thickBot="1">
      <c r="C171" s="74">
        <v>169</v>
      </c>
      <c r="D171" s="133" t="str">
        <f>IF(D147="Sieger 81","Sieger 145",IF(E147="Verlierer 128","Sieger 145",IF(D147=E147,"Freilos",IF(E147="Freilos",D147,IF(D147="Freilos",E147,IF(F147&gt;G147,D147,IF(G147&gt;F147,E147,"Sieger 145")))))))</f>
        <v>Sieger 145</v>
      </c>
      <c r="E171" s="134" t="str">
        <f>IF(D148="Sieger 82","Sieger 146",IF(E148="Verlierer 127","Sieger 146",IF(D148=E148,"Freilos",IF(E148="Freilos",D148,IF(D148="Freilos",E148,IF(F148&gt;G148,D148,IF(G148&gt;F148,E148,"Sieger 146")))))))</f>
        <v>Sieger 146</v>
      </c>
      <c r="F171" s="98"/>
      <c r="G171" s="99"/>
      <c r="H171" s="100"/>
      <c r="I171" s="100"/>
      <c r="J171" s="100"/>
      <c r="K171" s="101"/>
      <c r="L171" s="71"/>
      <c r="M171" s="95">
        <f t="shared" si="45"/>
      </c>
      <c r="N171" s="48">
        <f t="shared" si="46"/>
        <v>0</v>
      </c>
      <c r="O171" s="48">
        <f t="shared" si="47"/>
        <v>0</v>
      </c>
      <c r="P171" s="48">
        <f t="shared" si="48"/>
        <v>0</v>
      </c>
      <c r="Q171" s="48">
        <f t="shared" si="49"/>
        <v>0</v>
      </c>
      <c r="R171" s="48">
        <f t="shared" si="50"/>
        <v>0</v>
      </c>
      <c r="S171" s="48">
        <f t="shared" si="51"/>
        <v>0</v>
      </c>
      <c r="T171" s="72">
        <f t="shared" si="53"/>
        <v>0</v>
      </c>
      <c r="U171" s="72">
        <f t="shared" si="52"/>
        <v>0</v>
      </c>
      <c r="V171" s="60">
        <f>IF(Spielereingabe!F48="","",40)</f>
      </c>
      <c r="W171" s="61">
        <f>IF(SP128!V171="","",Spielereingabe!F48)</f>
      </c>
      <c r="X171" s="61">
        <f>IF(SP128!V171="","",Spielereingabe!G48)</f>
      </c>
      <c r="Y171" s="61">
        <f>IF(SP128!V171="","",Spielereingabe!H48)</f>
      </c>
      <c r="Z171" s="61">
        <f>IF(SP128!V171="","",Spielereingabe!I48)</f>
      </c>
      <c r="AA171" s="62">
        <f>IF(SP128!V171="","",SP128!X42)</f>
      </c>
      <c r="AB171" s="62">
        <f>IF(SP128!V171="","",SP128!Z42)</f>
      </c>
      <c r="AC171" s="62">
        <f>IF(SP128!V171="","",SP128!AA42)</f>
      </c>
      <c r="AD171" s="62">
        <f>IF(SP128!V171="","",SP128!AC42)</f>
      </c>
      <c r="AE171" s="62">
        <f>IF(SP128!V171="","",SP128!AD42)</f>
      </c>
      <c r="AF171" s="235">
        <f>IF(SP128!V171="","",SP128!AE42)</f>
      </c>
      <c r="AG171" s="240"/>
      <c r="AH171" s="241"/>
      <c r="AM171" s="127"/>
      <c r="AO171" s="127"/>
      <c r="AP171" s="127"/>
      <c r="AQ171" s="127"/>
      <c r="AR171" s="127"/>
    </row>
    <row r="172" spans="3:44" ht="10.5" thickBot="1">
      <c r="C172" s="74">
        <v>170</v>
      </c>
      <c r="D172" s="133" t="str">
        <f>IF(D149="Sieger 83","Sieger 147",IF(E149="Verlierer 126","Sieger 147",IF(D149=E149,"Freilos",IF(E149="Freilos",D149,IF(D149="Freilos",E149,IF(F149&gt;G149,D149,IF(G149&gt;F149,E149,"Sieger 147")))))))</f>
        <v>Sieger 147</v>
      </c>
      <c r="E172" s="134" t="str">
        <f>IF(D150="Sieger 84","Sieger 148",IF(E150="Verlierer 125","Sieger 148",IF(D150=E150,"Freilos",IF(E150="Freilos",D150,IF(D150="Freilos",E150,IF(F150&gt;G150,D150,IF(G150&gt;F150,E150,"Sieger 148")))))))</f>
        <v>Sieger 148</v>
      </c>
      <c r="F172" s="98"/>
      <c r="G172" s="99"/>
      <c r="H172" s="100"/>
      <c r="I172" s="100"/>
      <c r="J172" s="100"/>
      <c r="K172" s="101"/>
      <c r="L172" s="71"/>
      <c r="M172" s="95">
        <f t="shared" si="45"/>
      </c>
      <c r="N172" s="48">
        <f t="shared" si="46"/>
        <v>0</v>
      </c>
      <c r="O172" s="48">
        <f t="shared" si="47"/>
        <v>0</v>
      </c>
      <c r="P172" s="48">
        <f t="shared" si="48"/>
        <v>0</v>
      </c>
      <c r="Q172" s="48">
        <f t="shared" si="49"/>
        <v>0</v>
      </c>
      <c r="R172" s="48">
        <f t="shared" si="50"/>
        <v>0</v>
      </c>
      <c r="S172" s="48">
        <f t="shared" si="51"/>
        <v>0</v>
      </c>
      <c r="T172" s="72">
        <f t="shared" si="53"/>
        <v>0</v>
      </c>
      <c r="U172" s="72">
        <f t="shared" si="52"/>
        <v>0</v>
      </c>
      <c r="V172" s="60">
        <f>IF(Spielereingabe!F49="","",41)</f>
      </c>
      <c r="W172" s="61">
        <f>IF(SP128!V172="","",Spielereingabe!F49)</f>
      </c>
      <c r="X172" s="61">
        <f>IF(SP128!V172="","",Spielereingabe!G49)</f>
      </c>
      <c r="Y172" s="61">
        <f>IF(SP128!V172="","",Spielereingabe!H49)</f>
      </c>
      <c r="Z172" s="61">
        <f>IF(SP128!V172="","",Spielereingabe!I49)</f>
      </c>
      <c r="AA172" s="62">
        <f>IF(SP128!V172="","",SP128!X43)</f>
      </c>
      <c r="AB172" s="62">
        <f>IF(SP128!V172="","",SP128!Z43)</f>
      </c>
      <c r="AC172" s="62">
        <f>IF(SP128!V172="","",SP128!AA43)</f>
      </c>
      <c r="AD172" s="62">
        <f>IF(SP128!V172="","",SP128!AC43)</f>
      </c>
      <c r="AE172" s="62">
        <f>IF(SP128!V172="","",SP128!AD43)</f>
      </c>
      <c r="AF172" s="235">
        <f>IF(SP128!V172="","",SP128!AE43)</f>
      </c>
      <c r="AG172" s="240"/>
      <c r="AH172" s="241"/>
      <c r="AM172" s="127"/>
      <c r="AO172" s="127"/>
      <c r="AP172" s="127"/>
      <c r="AQ172" s="127"/>
      <c r="AR172" s="127"/>
    </row>
    <row r="173" spans="3:44" ht="10.5" thickBot="1">
      <c r="C173" s="74">
        <v>171</v>
      </c>
      <c r="D173" s="133" t="str">
        <f>IF(D151="Sieger 85","Sieger 149",IF(E151="Verlierer 124","Sieger 149",IF(D151=E151,"Freilos",IF(E151="Freilos",D151,IF(D151="Freilos",E151,IF(F151&gt;G151,D151,IF(G151&gt;F151,E151,"Sieger 149")))))))</f>
        <v>Sieger 149</v>
      </c>
      <c r="E173" s="134" t="str">
        <f>IF(D152="Sieger 86","Sieger 150",IF(E152="Verlierer 123","Sieger 150",IF(D152=E152,"Freilos",IF(E152="Freilos",D152,IF(D152="Freilos",E152,IF(F152&gt;G152,D152,IF(G152&gt;F152,E152,"Sieger 150")))))))</f>
        <v>Sieger 150</v>
      </c>
      <c r="F173" s="98"/>
      <c r="G173" s="99"/>
      <c r="H173" s="100"/>
      <c r="I173" s="100"/>
      <c r="J173" s="100"/>
      <c r="K173" s="101"/>
      <c r="L173" s="71"/>
      <c r="M173" s="95">
        <f t="shared" si="45"/>
      </c>
      <c r="N173" s="48">
        <f t="shared" si="46"/>
        <v>0</v>
      </c>
      <c r="O173" s="48">
        <f t="shared" si="47"/>
        <v>0</v>
      </c>
      <c r="P173" s="48">
        <f t="shared" si="48"/>
        <v>0</v>
      </c>
      <c r="Q173" s="48">
        <f t="shared" si="49"/>
        <v>0</v>
      </c>
      <c r="R173" s="48">
        <f t="shared" si="50"/>
        <v>0</v>
      </c>
      <c r="S173" s="48">
        <f t="shared" si="51"/>
        <v>0</v>
      </c>
      <c r="T173" s="72">
        <f t="shared" si="53"/>
        <v>0</v>
      </c>
      <c r="U173" s="72">
        <f t="shared" si="52"/>
        <v>0</v>
      </c>
      <c r="V173" s="60">
        <f>IF(Spielereingabe!F50="","",42)</f>
      </c>
      <c r="W173" s="61">
        <f>IF(SP128!V173="","",Spielereingabe!F50)</f>
      </c>
      <c r="X173" s="61">
        <f>IF(SP128!V173="","",Spielereingabe!G50)</f>
      </c>
      <c r="Y173" s="61">
        <f>IF(SP128!V173="","",Spielereingabe!H50)</f>
      </c>
      <c r="Z173" s="61">
        <f>IF(SP128!V173="","",Spielereingabe!I50)</f>
      </c>
      <c r="AA173" s="62">
        <f>IF(SP128!V173="","",SP128!X44)</f>
      </c>
      <c r="AB173" s="62">
        <f>IF(SP128!V173="","",SP128!Z44)</f>
      </c>
      <c r="AC173" s="62">
        <f>IF(SP128!V173="","",SP128!AA44)</f>
      </c>
      <c r="AD173" s="62">
        <f>IF(SP128!V173="","",SP128!AC44)</f>
      </c>
      <c r="AE173" s="62">
        <f>IF(SP128!V173="","",SP128!AD44)</f>
      </c>
      <c r="AF173" s="235">
        <f>IF(SP128!V173="","",SP128!AE44)</f>
      </c>
      <c r="AG173" s="240"/>
      <c r="AH173" s="241"/>
      <c r="AM173" s="127"/>
      <c r="AO173" s="127"/>
      <c r="AP173" s="127"/>
      <c r="AQ173" s="127"/>
      <c r="AR173" s="127"/>
    </row>
    <row r="174" spans="3:44" ht="10.5" thickBot="1">
      <c r="C174" s="74">
        <v>172</v>
      </c>
      <c r="D174" s="133" t="str">
        <f>IF(D153="Sieger 87","Sieger 151",IF(E153="Verlierer 122","Sieger 151",IF(D153=E153,"Freilos",IF(E153="Freilos",D153,IF(D153="Freilos",E153,IF(F153&gt;G153,D153,IF(G153&gt;F153,E153,"Sieger 151")))))))</f>
        <v>Sieger 151</v>
      </c>
      <c r="E174" s="134" t="str">
        <f>IF(D154="Sieger 88","Sieger 152",IF(E154="Verlierer 121","Sieger 152",IF(D154=E154,"Freilos",IF(E154="Freilos",D154,IF(D154="Freilos",E154,IF(F154&gt;G154,D154,IF(G154&gt;F154,E154,"Sieger 152")))))))</f>
        <v>Sieger 152</v>
      </c>
      <c r="F174" s="98"/>
      <c r="G174" s="99"/>
      <c r="H174" s="100"/>
      <c r="I174" s="100"/>
      <c r="J174" s="100"/>
      <c r="K174" s="101"/>
      <c r="L174" s="71"/>
      <c r="M174" s="95">
        <f t="shared" si="45"/>
      </c>
      <c r="N174" s="48">
        <f t="shared" si="46"/>
        <v>0</v>
      </c>
      <c r="O174" s="48">
        <f t="shared" si="47"/>
        <v>0</v>
      </c>
      <c r="P174" s="48">
        <f t="shared" si="48"/>
        <v>0</v>
      </c>
      <c r="Q174" s="48">
        <f t="shared" si="49"/>
        <v>0</v>
      </c>
      <c r="R174" s="48">
        <f t="shared" si="50"/>
        <v>0</v>
      </c>
      <c r="S174" s="48">
        <f t="shared" si="51"/>
        <v>0</v>
      </c>
      <c r="T174" s="72">
        <f t="shared" si="53"/>
        <v>0</v>
      </c>
      <c r="U174" s="72">
        <f t="shared" si="52"/>
        <v>0</v>
      </c>
      <c r="V174" s="60">
        <f>IF(Spielereingabe!F51="","",43)</f>
      </c>
      <c r="W174" s="61">
        <f>IF(SP128!V174="","",Spielereingabe!F51)</f>
      </c>
      <c r="X174" s="61">
        <f>IF(SP128!V174="","",Spielereingabe!G51)</f>
      </c>
      <c r="Y174" s="61">
        <f>IF(SP128!V174="","",Spielereingabe!H51)</f>
      </c>
      <c r="Z174" s="61">
        <f>IF(SP128!V174="","",Spielereingabe!I51)</f>
      </c>
      <c r="AA174" s="62">
        <f>IF(SP128!V174="","",SP128!X45)</f>
      </c>
      <c r="AB174" s="62">
        <f>IF(SP128!V174="","",SP128!Z45)</f>
      </c>
      <c r="AC174" s="62">
        <f>IF(SP128!V174="","",SP128!AA45)</f>
      </c>
      <c r="AD174" s="62">
        <f>IF(SP128!V174="","",SP128!AC45)</f>
      </c>
      <c r="AE174" s="62">
        <f>IF(SP128!V174="","",SP128!AD45)</f>
      </c>
      <c r="AF174" s="235">
        <f>IF(SP128!V174="","",SP128!AE45)</f>
      </c>
      <c r="AG174" s="240"/>
      <c r="AH174" s="241"/>
      <c r="AM174" s="127"/>
      <c r="AO174" s="127"/>
      <c r="AP174" s="127"/>
      <c r="AQ174" s="127"/>
      <c r="AR174" s="127"/>
    </row>
    <row r="175" spans="3:44" ht="10.5" thickBot="1">
      <c r="C175" s="74">
        <v>173</v>
      </c>
      <c r="D175" s="133" t="str">
        <f>IF(D155="Sieger 89","Sieger 153",IF(E155="Verlierer 120","Sieger 153",IF(D155=E155,"Freilos",IF(E155="Freilos",D155,IF(D155="Freilos",E155,IF(F155&gt;G155,D155,IF(G155&gt;F155,E155,"Sieger 153")))))))</f>
        <v>Sieger 153</v>
      </c>
      <c r="E175" s="134" t="str">
        <f>IF(D156="Sieger 90","Sieger 154",IF(E156="Verlierer 119","Sieger 154",IF(D156=E156,"Freilos",IF(E156="Freilos",D156,IF(D156="Freilos",E156,IF(F156&gt;G156,D156,IF(G156&gt;F156,E156,"Sieger 154")))))))</f>
        <v>Sieger 154</v>
      </c>
      <c r="F175" s="98"/>
      <c r="G175" s="99"/>
      <c r="H175" s="100"/>
      <c r="I175" s="100"/>
      <c r="J175" s="100"/>
      <c r="K175" s="101"/>
      <c r="L175" s="71"/>
      <c r="M175" s="95">
        <f t="shared" si="45"/>
      </c>
      <c r="N175" s="48">
        <f t="shared" si="46"/>
        <v>0</v>
      </c>
      <c r="O175" s="48">
        <f t="shared" si="47"/>
        <v>0</v>
      </c>
      <c r="P175" s="48">
        <f t="shared" si="48"/>
        <v>0</v>
      </c>
      <c r="Q175" s="48">
        <f t="shared" si="49"/>
        <v>0</v>
      </c>
      <c r="R175" s="48">
        <f t="shared" si="50"/>
        <v>0</v>
      </c>
      <c r="S175" s="48">
        <f t="shared" si="51"/>
        <v>0</v>
      </c>
      <c r="T175" s="72">
        <f t="shared" si="53"/>
        <v>0</v>
      </c>
      <c r="U175" s="72">
        <f t="shared" si="52"/>
        <v>0</v>
      </c>
      <c r="V175" s="60">
        <f>IF(Spielereingabe!F52="","",44)</f>
      </c>
      <c r="W175" s="61">
        <f>IF(SP128!V175="","",Spielereingabe!F52)</f>
      </c>
      <c r="X175" s="61">
        <f>IF(SP128!V175="","",Spielereingabe!G52)</f>
      </c>
      <c r="Y175" s="61">
        <f>IF(SP128!V175="","",Spielereingabe!H52)</f>
      </c>
      <c r="Z175" s="61">
        <f>IF(SP128!V175="","",Spielereingabe!I52)</f>
      </c>
      <c r="AA175" s="62">
        <f>IF(SP128!V175="","",SP128!X46)</f>
      </c>
      <c r="AB175" s="62">
        <f>IF(SP128!V175="","",SP128!Z46)</f>
      </c>
      <c r="AC175" s="62">
        <f>IF(SP128!V175="","",SP128!AA46)</f>
      </c>
      <c r="AD175" s="62">
        <f>IF(SP128!V175="","",SP128!AC46)</f>
      </c>
      <c r="AE175" s="62">
        <f>IF(SP128!V175="","",SP128!AD46)</f>
      </c>
      <c r="AF175" s="235">
        <f>IF(SP128!V175="","",SP128!AE46)</f>
      </c>
      <c r="AG175" s="240"/>
      <c r="AH175" s="241"/>
      <c r="AM175" s="127"/>
      <c r="AO175" s="127"/>
      <c r="AP175" s="127"/>
      <c r="AQ175" s="127"/>
      <c r="AR175" s="127"/>
    </row>
    <row r="176" spans="3:44" ht="10.5" thickBot="1">
      <c r="C176" s="74">
        <v>174</v>
      </c>
      <c r="D176" s="133" t="str">
        <f>IF(D157="Sieger 91","Sieger 155",IF(E157="Verlierer 118","Sieger 155",IF(D157=E157,"Freilos",IF(E157="Freilos",D157,IF(D157="Freilos",E157,IF(F157&gt;G157,D157,IF(G157&gt;F157,E157,"Sieger 155")))))))</f>
        <v>Sieger 155</v>
      </c>
      <c r="E176" s="134" t="str">
        <f>IF(D158="Sieger 92","Sieger 156",IF(E158="Verlierer 117","Sieger 156",IF(D158=E158,"Freilos",IF(E158="Freilos",D158,IF(D158="Freilos",E158,IF(F158&gt;G158,D158,IF(G158&gt;F158,E158,"Sieger 156")))))))</f>
        <v>Sieger 156</v>
      </c>
      <c r="F176" s="98"/>
      <c r="G176" s="99"/>
      <c r="H176" s="100"/>
      <c r="I176" s="100"/>
      <c r="J176" s="100"/>
      <c r="K176" s="101"/>
      <c r="L176" s="71"/>
      <c r="M176" s="95">
        <f t="shared" si="45"/>
      </c>
      <c r="N176" s="48">
        <f t="shared" si="46"/>
        <v>0</v>
      </c>
      <c r="O176" s="48">
        <f t="shared" si="47"/>
        <v>0</v>
      </c>
      <c r="P176" s="48">
        <f t="shared" si="48"/>
        <v>0</v>
      </c>
      <c r="Q176" s="48">
        <f t="shared" si="49"/>
        <v>0</v>
      </c>
      <c r="R176" s="48">
        <f t="shared" si="50"/>
        <v>0</v>
      </c>
      <c r="S176" s="48">
        <f t="shared" si="51"/>
        <v>0</v>
      </c>
      <c r="T176" s="72">
        <f t="shared" si="53"/>
        <v>0</v>
      </c>
      <c r="U176" s="72">
        <f t="shared" si="52"/>
        <v>0</v>
      </c>
      <c r="V176" s="60">
        <f>IF(Spielereingabe!F53="","",45)</f>
      </c>
      <c r="W176" s="61">
        <f>IF(SP128!V176="","",Spielereingabe!F53)</f>
      </c>
      <c r="X176" s="61">
        <f>IF(SP128!V176="","",Spielereingabe!G53)</f>
      </c>
      <c r="Y176" s="61">
        <f>IF(SP128!V176="","",Spielereingabe!H53)</f>
      </c>
      <c r="Z176" s="61">
        <f>IF(SP128!V176="","",Spielereingabe!I53)</f>
      </c>
      <c r="AA176" s="62">
        <f>IF(SP128!V176="","",SP128!X47)</f>
      </c>
      <c r="AB176" s="62">
        <f>IF(SP128!V176="","",SP128!Z47)</f>
      </c>
      <c r="AC176" s="62">
        <f>IF(SP128!V176="","",SP128!AA47)</f>
      </c>
      <c r="AD176" s="62">
        <f>IF(SP128!V176="","",SP128!AC47)</f>
      </c>
      <c r="AE176" s="62">
        <f>IF(SP128!V176="","",SP128!AD47)</f>
      </c>
      <c r="AF176" s="235">
        <f>IF(SP128!V176="","",SP128!AE47)</f>
      </c>
      <c r="AG176" s="240"/>
      <c r="AH176" s="241"/>
      <c r="AM176" s="127"/>
      <c r="AO176" s="127"/>
      <c r="AP176" s="127"/>
      <c r="AQ176" s="127"/>
      <c r="AR176" s="127"/>
    </row>
    <row r="177" spans="3:44" ht="10.5" thickBot="1">
      <c r="C177" s="74">
        <v>175</v>
      </c>
      <c r="D177" s="133" t="str">
        <f>IF(D159="Sieger 93","Sieger 157",IF(E159="Verlierer 116","Sieger 157",IF(D159=E159,"Freilos",IF(E159="Freilos",D159,IF(D159="Freilos",E159,IF(F159&gt;G159,D159,IF(G159&gt;F159,E159,"Sieger 157")))))))</f>
        <v>Sieger 157</v>
      </c>
      <c r="E177" s="134" t="str">
        <f>IF(D160="Sieger 94","Sieger 158",IF(E160="Verlierer 115","Sieger 158",IF(D160=E160,"Freilos",IF(E160="Freilos",D160,IF(D160="Freilos",E160,IF(F160&gt;G160,D160,IF(G160&gt;F160,E160,"Sieger 158")))))))</f>
        <v>Sieger 158</v>
      </c>
      <c r="F177" s="98"/>
      <c r="G177" s="99"/>
      <c r="H177" s="100"/>
      <c r="I177" s="100"/>
      <c r="J177" s="100"/>
      <c r="K177" s="101"/>
      <c r="L177" s="71"/>
      <c r="M177" s="95">
        <f t="shared" si="45"/>
      </c>
      <c r="N177" s="48">
        <f t="shared" si="46"/>
        <v>0</v>
      </c>
      <c r="O177" s="48">
        <f t="shared" si="47"/>
        <v>0</v>
      </c>
      <c r="P177" s="48">
        <f t="shared" si="48"/>
        <v>0</v>
      </c>
      <c r="Q177" s="48">
        <f t="shared" si="49"/>
        <v>0</v>
      </c>
      <c r="R177" s="48">
        <f t="shared" si="50"/>
        <v>0</v>
      </c>
      <c r="S177" s="48">
        <f t="shared" si="51"/>
        <v>0</v>
      </c>
      <c r="T177" s="72">
        <f t="shared" si="53"/>
        <v>0</v>
      </c>
      <c r="U177" s="72">
        <f t="shared" si="52"/>
        <v>0</v>
      </c>
      <c r="V177" s="60">
        <f>IF(Spielereingabe!F54="","",46)</f>
      </c>
      <c r="W177" s="61">
        <f>IF(SP128!V177="","",Spielereingabe!F54)</f>
      </c>
      <c r="X177" s="61">
        <f>IF(SP128!V177="","",Spielereingabe!G54)</f>
      </c>
      <c r="Y177" s="61">
        <f>IF(SP128!V177="","",Spielereingabe!H54)</f>
      </c>
      <c r="Z177" s="61">
        <f>IF(SP128!V177="","",Spielereingabe!I54)</f>
      </c>
      <c r="AA177" s="62">
        <f>IF(SP128!V177="","",SP128!X48)</f>
      </c>
      <c r="AB177" s="62">
        <f>IF(SP128!V177="","",SP128!Z48)</f>
      </c>
      <c r="AC177" s="62">
        <f>IF(SP128!V177="","",SP128!AA48)</f>
      </c>
      <c r="AD177" s="62">
        <f>IF(SP128!V177="","",SP128!AC48)</f>
      </c>
      <c r="AE177" s="62">
        <f>IF(SP128!V177="","",SP128!AD48)</f>
      </c>
      <c r="AF177" s="235">
        <f>IF(SP128!V177="","",SP128!AE48)</f>
      </c>
      <c r="AG177" s="240"/>
      <c r="AH177" s="241"/>
      <c r="AM177" s="127"/>
      <c r="AO177" s="127"/>
      <c r="AP177" s="127"/>
      <c r="AQ177" s="127"/>
      <c r="AR177" s="127"/>
    </row>
    <row r="178" spans="3:44" ht="10.5" thickBot="1">
      <c r="C178" s="74">
        <v>176</v>
      </c>
      <c r="D178" s="135" t="str">
        <f>IF(D161="Sieger 95","Sieger 159",IF(E161="Verlierer 114","Sieger 159",IF(D161=E161,"Freilos",IF(E161="Freilos",D161,IF(D161="Freilos",E161,IF(F161&gt;G161,D161,IF(G161&gt;F161,E161,"Sieger 159")))))))</f>
        <v>Sieger 159</v>
      </c>
      <c r="E178" s="136" t="str">
        <f>IF(D162="Sieger 96","Sieger 160",IF(E162="Verlierer 113","Sieger 160",IF(D162=E162,"Freilos",IF(E162="Freilos",D162,IF(D162="Freilos",E162,IF(F162&gt;G162,D162,IF(G162&gt;F162,E162,"Sieger 160")))))))</f>
        <v>Sieger 160</v>
      </c>
      <c r="F178" s="104"/>
      <c r="G178" s="105"/>
      <c r="H178" s="106"/>
      <c r="I178" s="106"/>
      <c r="J178" s="106"/>
      <c r="K178" s="107"/>
      <c r="L178" s="71"/>
      <c r="M178" s="95">
        <f t="shared" si="45"/>
      </c>
      <c r="N178" s="48">
        <f t="shared" si="46"/>
        <v>0</v>
      </c>
      <c r="O178" s="48">
        <f t="shared" si="47"/>
        <v>0</v>
      </c>
      <c r="P178" s="48">
        <f t="shared" si="48"/>
        <v>0</v>
      </c>
      <c r="Q178" s="48">
        <f t="shared" si="49"/>
        <v>0</v>
      </c>
      <c r="R178" s="48">
        <f t="shared" si="50"/>
        <v>0</v>
      </c>
      <c r="S178" s="48">
        <f t="shared" si="51"/>
        <v>0</v>
      </c>
      <c r="T178" s="72">
        <f t="shared" si="53"/>
        <v>0</v>
      </c>
      <c r="U178" s="72">
        <f t="shared" si="52"/>
        <v>0</v>
      </c>
      <c r="V178" s="60">
        <f>IF(Spielereingabe!F55="","",47)</f>
      </c>
      <c r="W178" s="61">
        <f>IF(SP128!V178="","",Spielereingabe!F55)</f>
      </c>
      <c r="X178" s="61">
        <f>IF(SP128!V178="","",Spielereingabe!G55)</f>
      </c>
      <c r="Y178" s="61">
        <f>IF(SP128!V178="","",Spielereingabe!H55)</f>
      </c>
      <c r="Z178" s="61">
        <f>IF(SP128!V178="","",Spielereingabe!I55)</f>
      </c>
      <c r="AA178" s="62">
        <f>IF(SP128!V178="","",SP128!X49)</f>
      </c>
      <c r="AB178" s="62">
        <f>IF(SP128!V178="","",SP128!Z49)</f>
      </c>
      <c r="AC178" s="62">
        <f>IF(SP128!V178="","",SP128!AA49)</f>
      </c>
      <c r="AD178" s="62">
        <f>IF(SP128!V178="","",SP128!AC49)</f>
      </c>
      <c r="AE178" s="62">
        <f>IF(SP128!V178="","",SP128!AD49)</f>
      </c>
      <c r="AF178" s="235">
        <f>IF(SP128!V178="","",SP128!AE49)</f>
      </c>
      <c r="AG178" s="240"/>
      <c r="AH178" s="241"/>
      <c r="AM178" s="127"/>
      <c r="AO178" s="127"/>
      <c r="AP178" s="127"/>
      <c r="AQ178" s="127"/>
      <c r="AR178" s="127"/>
    </row>
    <row r="179" spans="2:44" ht="10.5" thickBot="1">
      <c r="B179" s="108" t="s">
        <v>35</v>
      </c>
      <c r="C179" s="74">
        <v>177</v>
      </c>
      <c r="D179" s="137" t="str">
        <f>IF(D99="Sieger 1","Sieger 97",IF(E99="Sieger 2","Sieger 97",IF(D99=E99,"Freilos",IF(E99="Freilos",D99,IF(D99="Freilos",E99,IF(F99&gt;G99,D99,IF(G99&gt;F99,E99,"Sieger 97")))))))</f>
        <v>Sieger 97</v>
      </c>
      <c r="E179" s="138" t="str">
        <f>IF(D100="Sieger 3","Sieger 98",IF(E100="Sieger 4","Sieger 98",IF(D100=E100,"Freilos",IF(E100="Freilos",D100,IF(D100="Freilos",E100,IF(F100&gt;G100,D100,IF(G100&gt;F100,E100,"Sieger 98")))))))</f>
        <v>Sieger 98</v>
      </c>
      <c r="F179" s="139"/>
      <c r="G179" s="140"/>
      <c r="H179" s="92"/>
      <c r="I179" s="92"/>
      <c r="J179" s="92"/>
      <c r="K179" s="141"/>
      <c r="L179" s="71"/>
      <c r="M179" s="59"/>
      <c r="N179" s="48">
        <f t="shared" si="46"/>
        <v>0</v>
      </c>
      <c r="O179" s="48">
        <f t="shared" si="47"/>
        <v>0</v>
      </c>
      <c r="P179" s="48">
        <f t="shared" si="48"/>
        <v>0</v>
      </c>
      <c r="Q179" s="48">
        <f t="shared" si="49"/>
        <v>0</v>
      </c>
      <c r="R179" s="48">
        <f t="shared" si="50"/>
        <v>0</v>
      </c>
      <c r="S179" s="48">
        <f t="shared" si="51"/>
        <v>0</v>
      </c>
      <c r="T179" s="72">
        <f aca="true" t="shared" si="54" ref="T179:T194">IF(E179="Freilos",6,IF(F179&gt;G179,6,0))</f>
        <v>0</v>
      </c>
      <c r="U179" s="72">
        <f aca="true" t="shared" si="55" ref="U179:U194">IF(D179="Freilos",6,IF(G179&gt;F179,6,0))</f>
        <v>0</v>
      </c>
      <c r="V179" s="60">
        <f>IF(Spielereingabe!F56="","",48)</f>
      </c>
      <c r="W179" s="61">
        <f>IF(SP128!V179="","",Spielereingabe!F56)</f>
      </c>
      <c r="X179" s="61">
        <f>IF(SP128!V179="","",Spielereingabe!G56)</f>
      </c>
      <c r="Y179" s="61">
        <f>IF(SP128!V179="","",Spielereingabe!H56)</f>
      </c>
      <c r="Z179" s="61">
        <f>IF(SP128!V179="","",Spielereingabe!I56)</f>
      </c>
      <c r="AA179" s="62">
        <f>IF(SP128!V179="","",SP128!X50)</f>
      </c>
      <c r="AB179" s="62">
        <f>IF(SP128!V179="","",SP128!Z50)</f>
      </c>
      <c r="AC179" s="62">
        <f>IF(SP128!V179="","",SP128!AA50)</f>
      </c>
      <c r="AD179" s="62">
        <f>IF(SP128!V179="","",SP128!AC50)</f>
      </c>
      <c r="AE179" s="62">
        <f>IF(SP128!V179="","",SP128!AD50)</f>
      </c>
      <c r="AF179" s="235">
        <f>IF(SP128!V179="","",SP128!AE50)</f>
      </c>
      <c r="AG179" s="240"/>
      <c r="AH179" s="241"/>
      <c r="AM179" s="127"/>
      <c r="AO179" s="127"/>
      <c r="AP179" s="127"/>
      <c r="AQ179" s="127"/>
      <c r="AR179" s="127"/>
    </row>
    <row r="180" spans="3:44" ht="10.5" thickBot="1">
      <c r="C180" s="74">
        <v>178</v>
      </c>
      <c r="D180" s="115" t="str">
        <f>IF(D101="Sieger 5","Sieger 99",IF(E101="Sieger 6","Sieger 99",IF(D101=E101,"Freilos",IF(E101="Freilos",D101,IF(D101="Freilos",E101,IF(F101&gt;G101,D101,IF(G101&gt;F101,E101,"Sieger 99")))))))</f>
        <v>Sieger 99</v>
      </c>
      <c r="E180" s="142" t="str">
        <f>IF(D102="Sieger 7","Sieger 100",IF(E102="Sieger 8","Sieger 100",IF(D102=E102,"Freilos",IF(E102="Freilos",D102,IF(D102="Freilos",E102,IF(F102&gt;G102,D102,IF(G102&gt;F102,E102,"Sieger 100")))))))</f>
        <v>Sieger 100</v>
      </c>
      <c r="F180" s="143"/>
      <c r="G180" s="118"/>
      <c r="H180" s="99"/>
      <c r="I180" s="99"/>
      <c r="J180" s="99"/>
      <c r="K180" s="119"/>
      <c r="L180" s="71"/>
      <c r="M180" s="59"/>
      <c r="N180" s="48">
        <f t="shared" si="46"/>
        <v>0</v>
      </c>
      <c r="O180" s="48">
        <f t="shared" si="47"/>
        <v>0</v>
      </c>
      <c r="P180" s="48">
        <f t="shared" si="48"/>
        <v>0</v>
      </c>
      <c r="Q180" s="48">
        <f t="shared" si="49"/>
        <v>0</v>
      </c>
      <c r="R180" s="48">
        <f t="shared" si="50"/>
        <v>0</v>
      </c>
      <c r="S180" s="48">
        <f t="shared" si="51"/>
        <v>0</v>
      </c>
      <c r="T180" s="72">
        <f t="shared" si="54"/>
        <v>0</v>
      </c>
      <c r="U180" s="72">
        <f t="shared" si="55"/>
        <v>0</v>
      </c>
      <c r="V180" s="60">
        <f>IF(Spielereingabe!F57="","",49)</f>
      </c>
      <c r="W180" s="61">
        <f>IF(SP128!V180="","",Spielereingabe!F57)</f>
      </c>
      <c r="X180" s="61">
        <f>IF(SP128!V180="","",Spielereingabe!G57)</f>
      </c>
      <c r="Y180" s="61">
        <f>IF(SP128!V180="","",Spielereingabe!H57)</f>
      </c>
      <c r="Z180" s="61">
        <f>IF(SP128!V180="","",Spielereingabe!I57)</f>
      </c>
      <c r="AA180" s="62">
        <f>IF(SP128!V180="","",SP128!X51)</f>
      </c>
      <c r="AB180" s="62">
        <f>IF(SP128!V180="","",SP128!Z51)</f>
      </c>
      <c r="AC180" s="62">
        <f>IF(SP128!V180="","",SP128!AA51)</f>
      </c>
      <c r="AD180" s="62">
        <f>IF(SP128!V180="","",SP128!AC51)</f>
      </c>
      <c r="AE180" s="62">
        <f>IF(SP128!V180="","",SP128!AD51)</f>
      </c>
      <c r="AF180" s="235">
        <f>IF(SP128!V180="","",SP128!AE51)</f>
      </c>
      <c r="AG180" s="240"/>
      <c r="AH180" s="241"/>
      <c r="AM180" s="127"/>
      <c r="AO180" s="127"/>
      <c r="AP180" s="127"/>
      <c r="AQ180" s="127"/>
      <c r="AR180" s="127"/>
    </row>
    <row r="181" spans="3:44" ht="10.5" thickBot="1">
      <c r="C181" s="74">
        <v>179</v>
      </c>
      <c r="D181" s="115" t="str">
        <f>IF(D103="Sieger 9","Sieger 101",IF(E103="Sieger 10","Sieger 101",IF(D103=E103,"Freilos",IF(E103="Freilos",D103,IF(D103="Freilos",E103,IF(F103&gt;G103,D103,IF(G103&gt;F103,E103,"Sieger 101")))))))</f>
        <v>Sieger 101</v>
      </c>
      <c r="E181" s="142" t="str">
        <f>IF(D104="Sieger 11","Sieger 102",IF(E104="Sieger 12","Sieger 102",IF(D104=E104,"Freilos",IF(E104="Freilos",D104,IF(D104="Freilos",E104,IF(F104&gt;G104,D104,IF(G104&gt;F104,E104,"Sieger 102")))))))</f>
        <v>Sieger 102</v>
      </c>
      <c r="F181" s="143"/>
      <c r="G181" s="118"/>
      <c r="H181" s="99"/>
      <c r="I181" s="99"/>
      <c r="J181" s="99"/>
      <c r="K181" s="119"/>
      <c r="L181" s="71"/>
      <c r="M181" s="59"/>
      <c r="N181" s="48">
        <f t="shared" si="46"/>
        <v>0</v>
      </c>
      <c r="O181" s="48">
        <f t="shared" si="47"/>
        <v>0</v>
      </c>
      <c r="P181" s="48">
        <f t="shared" si="48"/>
        <v>0</v>
      </c>
      <c r="Q181" s="48">
        <f t="shared" si="49"/>
        <v>0</v>
      </c>
      <c r="R181" s="48">
        <f t="shared" si="50"/>
        <v>0</v>
      </c>
      <c r="S181" s="48">
        <f t="shared" si="51"/>
        <v>0</v>
      </c>
      <c r="T181" s="72">
        <f t="shared" si="54"/>
        <v>0</v>
      </c>
      <c r="U181" s="72">
        <f t="shared" si="55"/>
        <v>0</v>
      </c>
      <c r="V181" s="60">
        <f>IF(Spielereingabe!F58="","",50)</f>
      </c>
      <c r="W181" s="61">
        <f>IF(SP128!V181="","",Spielereingabe!F58)</f>
      </c>
      <c r="X181" s="61">
        <f>IF(SP128!V181="","",Spielereingabe!G58)</f>
      </c>
      <c r="Y181" s="61">
        <f>IF(SP128!V181="","",Spielereingabe!H58)</f>
      </c>
      <c r="Z181" s="61">
        <f>IF(SP128!V181="","",Spielereingabe!I58)</f>
      </c>
      <c r="AA181" s="62">
        <f>IF(SP128!V181="","",SP128!X52)</f>
      </c>
      <c r="AB181" s="62">
        <f>IF(SP128!V181="","",SP128!Z52)</f>
      </c>
      <c r="AC181" s="62">
        <f>IF(SP128!V181="","",SP128!AA52)</f>
      </c>
      <c r="AD181" s="62">
        <f>IF(SP128!V181="","",SP128!AC52)</f>
      </c>
      <c r="AE181" s="62">
        <f>IF(SP128!V181="","",SP128!AD52)</f>
      </c>
      <c r="AF181" s="235">
        <f>IF(SP128!V181="","",SP128!AE52)</f>
      </c>
      <c r="AG181" s="240"/>
      <c r="AH181" s="241"/>
      <c r="AM181" s="127"/>
      <c r="AO181" s="127"/>
      <c r="AP181" s="127"/>
      <c r="AQ181" s="127"/>
      <c r="AR181" s="127"/>
    </row>
    <row r="182" spans="3:44" ht="10.5" thickBot="1">
      <c r="C182" s="74">
        <v>180</v>
      </c>
      <c r="D182" s="115" t="str">
        <f>IF(D105="Sieger 13","Sieger 103",IF(E105="Sieger 14","Sieger 103",IF(D105=E105,"Freilos",IF(E105="Freilos",D105,IF(D105="Freilos",E105,IF(F105&gt;G105,D105,IF(G105&gt;F105,E105,"Sieger 103")))))))</f>
        <v>Sieger 103</v>
      </c>
      <c r="E182" s="142" t="str">
        <f>IF(D106="Sieger 15","Sieger 104",IF(E106="Sieger 16","Sieger 104",IF(D106=E106,"Freilos",IF(E106="Freilos",D106,IF(D106="Freilos",E106,IF(F106&gt;G106,D106,IF(G106&gt;F106,E106,"Sieger 104")))))))</f>
        <v>Sieger 104</v>
      </c>
      <c r="F182" s="143"/>
      <c r="G182" s="118"/>
      <c r="H182" s="99"/>
      <c r="I182" s="99"/>
      <c r="J182" s="99"/>
      <c r="K182" s="119"/>
      <c r="L182" s="71"/>
      <c r="M182" s="59"/>
      <c r="N182" s="48">
        <f t="shared" si="46"/>
        <v>0</v>
      </c>
      <c r="O182" s="48">
        <f t="shared" si="47"/>
        <v>0</v>
      </c>
      <c r="P182" s="48">
        <f t="shared" si="48"/>
        <v>0</v>
      </c>
      <c r="Q182" s="48">
        <f t="shared" si="49"/>
        <v>0</v>
      </c>
      <c r="R182" s="48">
        <f t="shared" si="50"/>
        <v>0</v>
      </c>
      <c r="S182" s="48">
        <f t="shared" si="51"/>
        <v>0</v>
      </c>
      <c r="T182" s="72">
        <f t="shared" si="54"/>
        <v>0</v>
      </c>
      <c r="U182" s="72">
        <f t="shared" si="55"/>
        <v>0</v>
      </c>
      <c r="V182" s="60">
        <f>IF(Spielereingabe!F59="","",51)</f>
      </c>
      <c r="W182" s="61">
        <f>IF(SP128!V182="","",Spielereingabe!F59)</f>
      </c>
      <c r="X182" s="61">
        <f>IF(SP128!V182="","",Spielereingabe!G59)</f>
      </c>
      <c r="Y182" s="61">
        <f>IF(SP128!V182="","",Spielereingabe!H59)</f>
      </c>
      <c r="Z182" s="61">
        <f>IF(SP128!V182="","",Spielereingabe!I59)</f>
      </c>
      <c r="AA182" s="62">
        <f>IF(SP128!V182="","",SP128!X53)</f>
      </c>
      <c r="AB182" s="62">
        <f>IF(SP128!V182="","",SP128!Z53)</f>
      </c>
      <c r="AC182" s="62">
        <f>IF(SP128!V182="","",SP128!AA53)</f>
      </c>
      <c r="AD182" s="62">
        <f>IF(SP128!V182="","",SP128!AC53)</f>
      </c>
      <c r="AE182" s="62">
        <f>IF(SP128!V182="","",SP128!AD53)</f>
      </c>
      <c r="AF182" s="235">
        <f>IF(SP128!V182="","",SP128!AE53)</f>
      </c>
      <c r="AG182" s="240"/>
      <c r="AH182" s="241"/>
      <c r="AM182" s="127"/>
      <c r="AO182" s="127"/>
      <c r="AP182" s="127"/>
      <c r="AQ182" s="127"/>
      <c r="AR182" s="127"/>
    </row>
    <row r="183" spans="3:44" ht="10.5" thickBot="1">
      <c r="C183" s="74">
        <v>181</v>
      </c>
      <c r="D183" s="115" t="str">
        <f>IF(D107="Sieger 17","Sieger 105",IF(E107="Sieger 18","Sieger 105",IF(D107=E107,"Freilos",IF(E107="Freilos",D107,IF(D107="Freilos",E107,IF(F107&gt;G107,D107,IF(G107&gt;F107,E107,"Sieger 105")))))))</f>
        <v>Sieger 105</v>
      </c>
      <c r="E183" s="142" t="str">
        <f>IF(D108="Sieger 19","Sieger 106",IF(E108="Sieger 20","Sieger 106",IF(D108=E108,"Freilos",IF(E108="Freilos",D108,IF(D108="Freilos",E108,IF(F108&gt;G108,D108,IF(G108&gt;F108,E108,"Sieger 106")))))))</f>
        <v>Sieger 106</v>
      </c>
      <c r="F183" s="143"/>
      <c r="G183" s="118"/>
      <c r="H183" s="99"/>
      <c r="I183" s="99"/>
      <c r="J183" s="99"/>
      <c r="K183" s="119"/>
      <c r="L183" s="71"/>
      <c r="M183" s="59"/>
      <c r="N183" s="48">
        <f t="shared" si="46"/>
        <v>0</v>
      </c>
      <c r="O183" s="48">
        <f t="shared" si="47"/>
        <v>0</v>
      </c>
      <c r="P183" s="48">
        <f t="shared" si="48"/>
        <v>0</v>
      </c>
      <c r="Q183" s="48">
        <f t="shared" si="49"/>
        <v>0</v>
      </c>
      <c r="R183" s="48">
        <f t="shared" si="50"/>
        <v>0</v>
      </c>
      <c r="S183" s="48">
        <f t="shared" si="51"/>
        <v>0</v>
      </c>
      <c r="T183" s="72">
        <f t="shared" si="54"/>
        <v>0</v>
      </c>
      <c r="U183" s="72">
        <f t="shared" si="55"/>
        <v>0</v>
      </c>
      <c r="V183" s="60">
        <f>IF(Spielereingabe!F60="","",52)</f>
      </c>
      <c r="W183" s="61">
        <f>IF(SP128!V183="","",Spielereingabe!F60)</f>
      </c>
      <c r="X183" s="61">
        <f>IF(SP128!V183="","",Spielereingabe!G60)</f>
      </c>
      <c r="Y183" s="61">
        <f>IF(SP128!V183="","",Spielereingabe!H60)</f>
      </c>
      <c r="Z183" s="61">
        <f>IF(SP128!V183="","",Spielereingabe!I60)</f>
      </c>
      <c r="AA183" s="62">
        <f>IF(SP128!V183="","",SP128!X54)</f>
      </c>
      <c r="AB183" s="62">
        <f>IF(SP128!V183="","",SP128!Z54)</f>
      </c>
      <c r="AC183" s="62">
        <f>IF(SP128!V183="","",SP128!AA54)</f>
      </c>
      <c r="AD183" s="62">
        <f>IF(SP128!V183="","",SP128!AC54)</f>
      </c>
      <c r="AE183" s="62">
        <f>IF(SP128!V183="","",SP128!AD54)</f>
      </c>
      <c r="AF183" s="235">
        <f>IF(SP128!V183="","",SP128!AE54)</f>
      </c>
      <c r="AG183" s="240"/>
      <c r="AH183" s="241"/>
      <c r="AM183" s="127"/>
      <c r="AO183" s="127"/>
      <c r="AP183" s="127"/>
      <c r="AQ183" s="127"/>
      <c r="AR183" s="127"/>
    </row>
    <row r="184" spans="3:44" ht="10.5" thickBot="1">
      <c r="C184" s="74">
        <v>182</v>
      </c>
      <c r="D184" s="115" t="str">
        <f>IF(D109="Sieger 21","Sieger 107",IF(E109="Sieger 22","Sieger 107",IF(D109=E109,"Freilos",IF(E109="Freilos",D109,IF(D109="Freilos",E109,IF(F109&gt;G109,D109,IF(G109&gt;F109,E109,"Sieger 107")))))))</f>
        <v>Sieger 107</v>
      </c>
      <c r="E184" s="142" t="str">
        <f>IF(D110="Sieger 23","Sieger 108",IF(E110="Sieger 24","Sieger 108",IF(D110=E110,"Freilos",IF(E110="Freilos",D110,IF(D110="Freilos",E110,IF(F110&gt;G110,D110,IF(G110&gt;F110,E110,"Sieger 108")))))))</f>
        <v>Sieger 108</v>
      </c>
      <c r="F184" s="143"/>
      <c r="G184" s="118"/>
      <c r="H184" s="99"/>
      <c r="I184" s="99"/>
      <c r="J184" s="99"/>
      <c r="K184" s="119"/>
      <c r="L184" s="71"/>
      <c r="M184" s="59"/>
      <c r="N184" s="48">
        <f t="shared" si="46"/>
        <v>0</v>
      </c>
      <c r="O184" s="48">
        <f t="shared" si="47"/>
        <v>0</v>
      </c>
      <c r="P184" s="48">
        <f t="shared" si="48"/>
        <v>0</v>
      </c>
      <c r="Q184" s="48">
        <f t="shared" si="49"/>
        <v>0</v>
      </c>
      <c r="R184" s="48">
        <f t="shared" si="50"/>
        <v>0</v>
      </c>
      <c r="S184" s="48">
        <f t="shared" si="51"/>
        <v>0</v>
      </c>
      <c r="T184" s="72">
        <f t="shared" si="54"/>
        <v>0</v>
      </c>
      <c r="U184" s="72">
        <f t="shared" si="55"/>
        <v>0</v>
      </c>
      <c r="V184" s="60">
        <f>IF(Spielereingabe!F61="","",53)</f>
      </c>
      <c r="W184" s="61">
        <f>IF(SP128!V184="","",Spielereingabe!F61)</f>
      </c>
      <c r="X184" s="61">
        <f>IF(SP128!V184="","",Spielereingabe!G61)</f>
      </c>
      <c r="Y184" s="61">
        <f>IF(SP128!V184="","",Spielereingabe!H61)</f>
      </c>
      <c r="Z184" s="61">
        <f>IF(SP128!V184="","",Spielereingabe!I61)</f>
      </c>
      <c r="AA184" s="62">
        <f>IF(SP128!V184="","",SP128!X55)</f>
      </c>
      <c r="AB184" s="62">
        <f>IF(SP128!V184="","",SP128!Z55)</f>
      </c>
      <c r="AC184" s="62">
        <f>IF(SP128!V184="","",SP128!AA55)</f>
      </c>
      <c r="AD184" s="62">
        <f>IF(SP128!V184="","",SP128!AC55)</f>
      </c>
      <c r="AE184" s="62">
        <f>IF(SP128!V184="","",SP128!AD55)</f>
      </c>
      <c r="AF184" s="235">
        <f>IF(SP128!V184="","",SP128!AE55)</f>
      </c>
      <c r="AG184" s="240"/>
      <c r="AH184" s="241"/>
      <c r="AM184" s="127"/>
      <c r="AO184" s="127"/>
      <c r="AP184" s="127"/>
      <c r="AQ184" s="127"/>
      <c r="AR184" s="127"/>
    </row>
    <row r="185" spans="3:44" ht="10.5" thickBot="1">
      <c r="C185" s="74">
        <v>183</v>
      </c>
      <c r="D185" s="115" t="str">
        <f>IF(D111="Sieger 25","Sieger 109",IF(E111="Sieger 26","Sieger 109",IF(D111=E111,"Freilos",IF(E111="Freilos",D111,IF(D111="Freilos",E111,IF(F111&gt;G111,D111,IF(G111&gt;F111,E111,"Sieger 109")))))))</f>
        <v>Sieger 109</v>
      </c>
      <c r="E185" s="142" t="str">
        <f>IF(D112="Sieger 27","Sieger 110",IF(E112="Sieger 28","Sieger 110",IF(D112=E112,"Freilos",IF(E112="Freilos",D112,IF(D112="Freilos",E112,IF(F112&gt;G112,D112,IF(G112&gt;F112,E112,"Sieger 110")))))))</f>
        <v>Sieger 110</v>
      </c>
      <c r="F185" s="143"/>
      <c r="G185" s="118"/>
      <c r="H185" s="99"/>
      <c r="I185" s="99"/>
      <c r="J185" s="99"/>
      <c r="K185" s="119"/>
      <c r="L185" s="71"/>
      <c r="M185" s="59"/>
      <c r="N185" s="48">
        <f t="shared" si="46"/>
        <v>0</v>
      </c>
      <c r="O185" s="48">
        <f t="shared" si="47"/>
        <v>0</v>
      </c>
      <c r="P185" s="48">
        <f t="shared" si="48"/>
        <v>0</v>
      </c>
      <c r="Q185" s="48">
        <f t="shared" si="49"/>
        <v>0</v>
      </c>
      <c r="R185" s="48">
        <f t="shared" si="50"/>
        <v>0</v>
      </c>
      <c r="S185" s="48">
        <f t="shared" si="51"/>
        <v>0</v>
      </c>
      <c r="T185" s="72">
        <f t="shared" si="54"/>
        <v>0</v>
      </c>
      <c r="U185" s="72">
        <f t="shared" si="55"/>
        <v>0</v>
      </c>
      <c r="V185" s="60">
        <f>IF(Spielereingabe!F62="","",54)</f>
      </c>
      <c r="W185" s="61">
        <f>IF(SP128!V185="","",Spielereingabe!F62)</f>
      </c>
      <c r="X185" s="61">
        <f>IF(SP128!V185="","",Spielereingabe!G62)</f>
      </c>
      <c r="Y185" s="61">
        <f>IF(SP128!V185="","",Spielereingabe!H62)</f>
      </c>
      <c r="Z185" s="61">
        <f>IF(SP128!V185="","",Spielereingabe!I62)</f>
      </c>
      <c r="AA185" s="62">
        <f>IF(SP128!V185="","",SP128!X56)</f>
      </c>
      <c r="AB185" s="62">
        <f>IF(SP128!V185="","",SP128!Z56)</f>
      </c>
      <c r="AC185" s="62">
        <f>IF(SP128!V185="","",SP128!AA56)</f>
      </c>
      <c r="AD185" s="62">
        <f>IF(SP128!V185="","",SP128!AC56)</f>
      </c>
      <c r="AE185" s="62">
        <f>IF(SP128!V185="","",SP128!AD56)</f>
      </c>
      <c r="AF185" s="235">
        <f>IF(SP128!V185="","",SP128!AE56)</f>
      </c>
      <c r="AG185" s="240"/>
      <c r="AH185" s="241"/>
      <c r="AM185" s="127"/>
      <c r="AO185" s="127"/>
      <c r="AP185" s="127"/>
      <c r="AQ185" s="127"/>
      <c r="AR185" s="127"/>
    </row>
    <row r="186" spans="3:44" ht="10.5" thickBot="1">
      <c r="C186" s="74">
        <v>184</v>
      </c>
      <c r="D186" s="115" t="str">
        <f>IF(D113="Sieger 29","Sieger 111",IF(E113="Sieger 30","Sieger 111",IF(D113=E113,"Freilos",IF(E113="Freilos",D113,IF(D113="Freilos",E113,IF(F113&gt;G113,D113,IF(G113&gt;F113,E113,"Sieger 111")))))))</f>
        <v>Sieger 111</v>
      </c>
      <c r="E186" s="142" t="str">
        <f>IF(D114="Sieger 31","Sieger 112",IF(E114="Sieger 32","Sieger 112",IF(D114=E114,"Freilos",IF(E114="Freilos",D114,IF(D114="Freilos",E114,IF(F114&gt;G114,D114,IF(G114&gt;F114,E114,"Sieger 112")))))))</f>
        <v>Sieger 112</v>
      </c>
      <c r="F186" s="143"/>
      <c r="G186" s="118"/>
      <c r="H186" s="99"/>
      <c r="I186" s="99"/>
      <c r="J186" s="99"/>
      <c r="K186" s="119"/>
      <c r="L186" s="71"/>
      <c r="M186" s="59"/>
      <c r="N186" s="48">
        <f t="shared" si="46"/>
        <v>0</v>
      </c>
      <c r="O186" s="48">
        <f t="shared" si="47"/>
        <v>0</v>
      </c>
      <c r="P186" s="48">
        <f t="shared" si="48"/>
        <v>0</v>
      </c>
      <c r="Q186" s="48">
        <f t="shared" si="49"/>
        <v>0</v>
      </c>
      <c r="R186" s="48">
        <f t="shared" si="50"/>
        <v>0</v>
      </c>
      <c r="S186" s="48">
        <f t="shared" si="51"/>
        <v>0</v>
      </c>
      <c r="T186" s="72">
        <f t="shared" si="54"/>
        <v>0</v>
      </c>
      <c r="U186" s="72">
        <f t="shared" si="55"/>
        <v>0</v>
      </c>
      <c r="V186" s="60">
        <f>IF(Spielereingabe!F63="","",55)</f>
      </c>
      <c r="W186" s="61">
        <f>IF(SP128!V186="","",Spielereingabe!F63)</f>
      </c>
      <c r="X186" s="61">
        <f>IF(SP128!V186="","",Spielereingabe!G63)</f>
      </c>
      <c r="Y186" s="61">
        <f>IF(SP128!V186="","",Spielereingabe!H63)</f>
      </c>
      <c r="Z186" s="61">
        <f>IF(SP128!V186="","",Spielereingabe!I63)</f>
      </c>
      <c r="AA186" s="62">
        <f>IF(SP128!V186="","",SP128!X57)</f>
      </c>
      <c r="AB186" s="62">
        <f>IF(SP128!V186="","",SP128!Z57)</f>
      </c>
      <c r="AC186" s="62">
        <f>IF(SP128!V186="","",SP128!AA57)</f>
      </c>
      <c r="AD186" s="62">
        <f>IF(SP128!V186="","",SP128!AC57)</f>
      </c>
      <c r="AE186" s="62">
        <f>IF(SP128!V186="","",SP128!AD57)</f>
      </c>
      <c r="AF186" s="235">
        <f>IF(SP128!V186="","",SP128!AE57)</f>
      </c>
      <c r="AG186" s="240"/>
      <c r="AH186" s="241"/>
      <c r="AM186" s="127"/>
      <c r="AO186" s="127"/>
      <c r="AP186" s="127"/>
      <c r="AQ186" s="127"/>
      <c r="AR186" s="127"/>
    </row>
    <row r="187" spans="3:44" ht="10.5" thickBot="1">
      <c r="C187" s="74">
        <v>185</v>
      </c>
      <c r="D187" s="115" t="str">
        <f>IF(D115="Sieger 33","Sieger 113",IF(E115="Sieger 34","Sieger 113",IF(D115=E115,"Freilos",IF(E115="Freilos",D115,IF(D115="Freilos",E115,IF(F115&gt;G115,D115,IF(G115&gt;F115,E115,"Sieger 113")))))))</f>
        <v>Sieger 113</v>
      </c>
      <c r="E187" s="142" t="str">
        <f>IF(D116="Sieger 35","Sieger 114",IF(E116="Sieger 36","Sieger 114",IF(D116=E116,"Freilos",IF(E116="Freilos",D116,IF(D116="Freilos",E116,IF(F116&gt;G116,D116,IF(G116&gt;F116,E116,"Sieger 114")))))))</f>
        <v>Sieger 114</v>
      </c>
      <c r="F187" s="143"/>
      <c r="G187" s="118"/>
      <c r="H187" s="99"/>
      <c r="I187" s="99"/>
      <c r="J187" s="99"/>
      <c r="K187" s="119"/>
      <c r="L187" s="71"/>
      <c r="M187" s="59"/>
      <c r="N187" s="48">
        <f t="shared" si="46"/>
        <v>0</v>
      </c>
      <c r="O187" s="48">
        <f t="shared" si="47"/>
        <v>0</v>
      </c>
      <c r="P187" s="48">
        <f t="shared" si="48"/>
        <v>0</v>
      </c>
      <c r="Q187" s="48">
        <f t="shared" si="49"/>
        <v>0</v>
      </c>
      <c r="R187" s="48">
        <f t="shared" si="50"/>
        <v>0</v>
      </c>
      <c r="S187" s="48">
        <f t="shared" si="51"/>
        <v>0</v>
      </c>
      <c r="T187" s="72">
        <f t="shared" si="54"/>
        <v>0</v>
      </c>
      <c r="U187" s="72">
        <f t="shared" si="55"/>
        <v>0</v>
      </c>
      <c r="V187" s="60">
        <f>IF(Spielereingabe!F64="","",56)</f>
      </c>
      <c r="W187" s="61">
        <f>IF(SP128!V187="","",Spielereingabe!F64)</f>
      </c>
      <c r="X187" s="61">
        <f>IF(SP128!V187="","",Spielereingabe!G64)</f>
      </c>
      <c r="Y187" s="61">
        <f>IF(SP128!V187="","",Spielereingabe!H64)</f>
      </c>
      <c r="Z187" s="61">
        <f>IF(SP128!V187="","",Spielereingabe!I64)</f>
      </c>
      <c r="AA187" s="62">
        <f>IF(SP128!V187="","",SP128!X58)</f>
      </c>
      <c r="AB187" s="62">
        <f>IF(SP128!V187="","",SP128!Z58)</f>
      </c>
      <c r="AC187" s="62">
        <f>IF(SP128!V187="","",SP128!AA58)</f>
      </c>
      <c r="AD187" s="62">
        <f>IF(SP128!V187="","",SP128!AC58)</f>
      </c>
      <c r="AE187" s="62">
        <f>IF(SP128!V187="","",SP128!AD58)</f>
      </c>
      <c r="AF187" s="235">
        <f>IF(SP128!V187="","",SP128!AE58)</f>
      </c>
      <c r="AG187" s="240"/>
      <c r="AH187" s="241"/>
      <c r="AM187" s="127"/>
      <c r="AO187" s="127"/>
      <c r="AP187" s="127"/>
      <c r="AQ187" s="127"/>
      <c r="AR187" s="127"/>
    </row>
    <row r="188" spans="3:44" ht="10.5" thickBot="1">
      <c r="C188" s="74">
        <v>186</v>
      </c>
      <c r="D188" s="115" t="str">
        <f>IF(D117="Sieger 37","Sieger 115",IF(E117="Sieger 38","Sieger 115",IF(D117=E117,"Freilos",IF(E117="Freilos",D117,IF(D117="Freilos",E117,IF(F117&gt;G117,D117,IF(G117&gt;F117,E117,"Sieger 115")))))))</f>
        <v>Sieger 115</v>
      </c>
      <c r="E188" s="142" t="str">
        <f>IF(D118="Sieger 39","Sieger 116",IF(E118="Sieger 40","Sieger 116",IF(D118=E118,"Freilos",IF(E118="Freilos",D118,IF(D118="Freilos",E118,IF(F118&gt;G118,D118,IF(G118&gt;F118,E118,"Sieger 116")))))))</f>
        <v>Sieger 116</v>
      </c>
      <c r="F188" s="143"/>
      <c r="G188" s="118"/>
      <c r="H188" s="99"/>
      <c r="I188" s="99"/>
      <c r="J188" s="99"/>
      <c r="K188" s="119"/>
      <c r="L188" s="71"/>
      <c r="M188" s="59"/>
      <c r="N188" s="48">
        <f t="shared" si="46"/>
        <v>0</v>
      </c>
      <c r="O188" s="48">
        <f t="shared" si="47"/>
        <v>0</v>
      </c>
      <c r="P188" s="48">
        <f t="shared" si="48"/>
        <v>0</v>
      </c>
      <c r="Q188" s="48">
        <f t="shared" si="49"/>
        <v>0</v>
      </c>
      <c r="R188" s="48">
        <f t="shared" si="50"/>
        <v>0</v>
      </c>
      <c r="S188" s="48">
        <f t="shared" si="51"/>
        <v>0</v>
      </c>
      <c r="T188" s="72">
        <f t="shared" si="54"/>
        <v>0</v>
      </c>
      <c r="U188" s="72">
        <f t="shared" si="55"/>
        <v>0</v>
      </c>
      <c r="V188" s="60">
        <f>IF(Spielereingabe!F65="","",57)</f>
      </c>
      <c r="W188" s="61">
        <f>IF(SP128!V188="","",Spielereingabe!F65)</f>
      </c>
      <c r="X188" s="61">
        <f>IF(SP128!V188="","",Spielereingabe!G65)</f>
      </c>
      <c r="Y188" s="61">
        <f>IF(SP128!V188="","",Spielereingabe!H65)</f>
      </c>
      <c r="Z188" s="61">
        <f>IF(SP128!V188="","",Spielereingabe!I65)</f>
      </c>
      <c r="AA188" s="62">
        <f>IF(SP128!V188="","",SP128!X59)</f>
      </c>
      <c r="AB188" s="62">
        <f>IF(SP128!V188="","",SP128!Z59)</f>
      </c>
      <c r="AC188" s="62">
        <f>IF(SP128!V188="","",SP128!AA59)</f>
      </c>
      <c r="AD188" s="62">
        <f>IF(SP128!V188="","",SP128!AC59)</f>
      </c>
      <c r="AE188" s="62">
        <f>IF(SP128!V188="","",SP128!AD59)</f>
      </c>
      <c r="AF188" s="235">
        <f>IF(SP128!V188="","",SP128!AE59)</f>
      </c>
      <c r="AG188" s="240"/>
      <c r="AH188" s="241"/>
      <c r="AM188" s="127"/>
      <c r="AO188" s="127"/>
      <c r="AP188" s="127"/>
      <c r="AQ188" s="127"/>
      <c r="AR188" s="127"/>
    </row>
    <row r="189" spans="3:44" ht="10.5" thickBot="1">
      <c r="C189" s="74">
        <v>187</v>
      </c>
      <c r="D189" s="115" t="str">
        <f>IF(D119="Sieger 41","Sieger 117",IF(E119="Sieger 42","Sieger 117",IF(D119=E119,"Freilos",IF(E119="Freilos",D119,IF(D119="Freilos",E119,IF(F119&gt;G119,D119,IF(G119&gt;F119,E119,"Sieger 117")))))))</f>
        <v>Sieger 117</v>
      </c>
      <c r="E189" s="142" t="str">
        <f>IF(D120="Sieger 43","Sieger 118",IF(E120="Sieger 44","Sieger 118",IF(D120=E120,"Freilos",IF(E120="Freilos",D120,IF(D120="Freilos",E120,IF(F120&gt;G120,D120,IF(G120&gt;F120,E120,"Sieger 118")))))))</f>
        <v>Sieger 118</v>
      </c>
      <c r="F189" s="143"/>
      <c r="G189" s="118"/>
      <c r="H189" s="99"/>
      <c r="I189" s="99"/>
      <c r="J189" s="99"/>
      <c r="K189" s="119"/>
      <c r="L189" s="71"/>
      <c r="M189" s="59"/>
      <c r="N189" s="48">
        <f t="shared" si="46"/>
        <v>0</v>
      </c>
      <c r="O189" s="48">
        <f t="shared" si="47"/>
        <v>0</v>
      </c>
      <c r="P189" s="48">
        <f t="shared" si="48"/>
        <v>0</v>
      </c>
      <c r="Q189" s="48">
        <f t="shared" si="49"/>
        <v>0</v>
      </c>
      <c r="R189" s="48">
        <f t="shared" si="50"/>
        <v>0</v>
      </c>
      <c r="S189" s="48">
        <f t="shared" si="51"/>
        <v>0</v>
      </c>
      <c r="T189" s="72">
        <f t="shared" si="54"/>
        <v>0</v>
      </c>
      <c r="U189" s="72">
        <f t="shared" si="55"/>
        <v>0</v>
      </c>
      <c r="V189" s="60">
        <f>IF(Spielereingabe!F66="","",58)</f>
      </c>
      <c r="W189" s="61">
        <f>IF(SP128!V189="","",Spielereingabe!F66)</f>
      </c>
      <c r="X189" s="61">
        <f>IF(SP128!V189="","",Spielereingabe!G66)</f>
      </c>
      <c r="Y189" s="61">
        <f>IF(SP128!V189="","",Spielereingabe!H66)</f>
      </c>
      <c r="Z189" s="61">
        <f>IF(SP128!V189="","",Spielereingabe!I66)</f>
      </c>
      <c r="AA189" s="62">
        <f>IF(SP128!V189="","",SP128!X60)</f>
      </c>
      <c r="AB189" s="62">
        <f>IF(SP128!V189="","",SP128!Z60)</f>
      </c>
      <c r="AC189" s="62">
        <f>IF(SP128!V189="","",SP128!AA60)</f>
      </c>
      <c r="AD189" s="62">
        <f>IF(SP128!V189="","",SP128!AC60)</f>
      </c>
      <c r="AE189" s="62">
        <f>IF(SP128!V189="","",SP128!AD60)</f>
      </c>
      <c r="AF189" s="235">
        <f>IF(SP128!V189="","",SP128!AE60)</f>
      </c>
      <c r="AG189" s="240"/>
      <c r="AH189" s="241"/>
      <c r="AM189" s="127"/>
      <c r="AO189" s="127"/>
      <c r="AP189" s="127"/>
      <c r="AQ189" s="127"/>
      <c r="AR189" s="127"/>
    </row>
    <row r="190" spans="3:44" ht="10.5" thickBot="1">
      <c r="C190" s="74">
        <v>188</v>
      </c>
      <c r="D190" s="115" t="str">
        <f>IF(D121="Sieger 45","Sieger 119",IF(E121="Sieger 46","Sieger 119",IF(D121=E121,"Freilos",IF(E121="Freilos",D121,IF(D121="Freilos",E121,IF(F121&gt;G121,D121,IF(G121&gt;F121,E121,"Sieger 119")))))))</f>
        <v>Sieger 119</v>
      </c>
      <c r="E190" s="142" t="str">
        <f>IF(D122="Sieger 47","Sieger 120",IF(E122="Sieger 48","Sieger 120",IF(D122=E122,"Freilos",IF(E122="Freilos",D122,IF(D122="Freilos",E122,IF(F122&gt;G122,D122,IF(G122&gt;F122,E122,"Sieger 120")))))))</f>
        <v>Sieger 120</v>
      </c>
      <c r="F190" s="143"/>
      <c r="G190" s="118"/>
      <c r="H190" s="99"/>
      <c r="I190" s="99"/>
      <c r="J190" s="99"/>
      <c r="K190" s="119"/>
      <c r="L190" s="71"/>
      <c r="M190" s="59"/>
      <c r="N190" s="48">
        <f t="shared" si="46"/>
        <v>0</v>
      </c>
      <c r="O190" s="48">
        <f t="shared" si="47"/>
        <v>0</v>
      </c>
      <c r="P190" s="48">
        <f t="shared" si="48"/>
        <v>0</v>
      </c>
      <c r="Q190" s="48">
        <f t="shared" si="49"/>
        <v>0</v>
      </c>
      <c r="R190" s="48">
        <f t="shared" si="50"/>
        <v>0</v>
      </c>
      <c r="S190" s="48">
        <f t="shared" si="51"/>
        <v>0</v>
      </c>
      <c r="T190" s="72">
        <f t="shared" si="54"/>
        <v>0</v>
      </c>
      <c r="U190" s="72">
        <f t="shared" si="55"/>
        <v>0</v>
      </c>
      <c r="V190" s="60">
        <f>IF(Spielereingabe!F67="","",59)</f>
      </c>
      <c r="W190" s="61">
        <f>IF(SP128!V190="","",Spielereingabe!F67)</f>
      </c>
      <c r="X190" s="61">
        <f>IF(SP128!V190="","",Spielereingabe!G67)</f>
      </c>
      <c r="Y190" s="61">
        <f>IF(SP128!V190="","",Spielereingabe!H67)</f>
      </c>
      <c r="Z190" s="61">
        <f>IF(SP128!V190="","",Spielereingabe!I67)</f>
      </c>
      <c r="AA190" s="62">
        <f>IF(SP128!V190="","",SP128!X61)</f>
      </c>
      <c r="AB190" s="62">
        <f>IF(SP128!V190="","",SP128!Z61)</f>
      </c>
      <c r="AC190" s="62">
        <f>IF(SP128!V190="","",SP128!AA61)</f>
      </c>
      <c r="AD190" s="62">
        <f>IF(SP128!V190="","",SP128!AC61)</f>
      </c>
      <c r="AE190" s="62">
        <f>IF(SP128!V190="","",SP128!AD61)</f>
      </c>
      <c r="AF190" s="235">
        <f>IF(SP128!V190="","",SP128!AE61)</f>
      </c>
      <c r="AG190" s="240"/>
      <c r="AH190" s="241"/>
      <c r="AM190" s="127"/>
      <c r="AO190" s="127"/>
      <c r="AP190" s="127"/>
      <c r="AQ190" s="127"/>
      <c r="AR190" s="127"/>
    </row>
    <row r="191" spans="3:44" ht="10.5" thickBot="1">
      <c r="C191" s="74">
        <v>189</v>
      </c>
      <c r="D191" s="115" t="str">
        <f>IF(D123="Sieger 49","Sieger 121",IF(E123="Sieger 50","Sieger 121",IF(D123=E123,"Freilos",IF(E123="Freilos",D123,IF(D123="Freilos",E123,IF(F123&gt;G123,D123,IF(G123&gt;F123,E123,"Sieger 121")))))))</f>
        <v>Sieger 121</v>
      </c>
      <c r="E191" s="142" t="str">
        <f>IF(D124="Sieger 51","Sieger 122",IF(E124="Sieger 52","Sieger 122",IF(D124=E124,"Freilos",IF(E124="Freilos",D124,IF(D124="Freilos",E124,IF(F124&gt;G124,D124,IF(G124&gt;F124,E124,"Sieger 122")))))))</f>
        <v>Sieger 122</v>
      </c>
      <c r="F191" s="143"/>
      <c r="G191" s="118"/>
      <c r="H191" s="99"/>
      <c r="I191" s="99"/>
      <c r="J191" s="99"/>
      <c r="K191" s="119"/>
      <c r="L191" s="71"/>
      <c r="M191" s="59"/>
      <c r="N191" s="48">
        <f t="shared" si="46"/>
        <v>0</v>
      </c>
      <c r="O191" s="48">
        <f t="shared" si="47"/>
        <v>0</v>
      </c>
      <c r="P191" s="48">
        <f t="shared" si="48"/>
        <v>0</v>
      </c>
      <c r="Q191" s="48">
        <f t="shared" si="49"/>
        <v>0</v>
      </c>
      <c r="R191" s="48">
        <f t="shared" si="50"/>
        <v>0</v>
      </c>
      <c r="S191" s="48">
        <f t="shared" si="51"/>
        <v>0</v>
      </c>
      <c r="T191" s="72">
        <f t="shared" si="54"/>
        <v>0</v>
      </c>
      <c r="U191" s="72">
        <f t="shared" si="55"/>
        <v>0</v>
      </c>
      <c r="V191" s="60">
        <f>IF(Spielereingabe!F68="","",60)</f>
      </c>
      <c r="W191" s="61">
        <f>IF(SP128!V191="","",Spielereingabe!F68)</f>
      </c>
      <c r="X191" s="61">
        <f>IF(SP128!V191="","",Spielereingabe!G68)</f>
      </c>
      <c r="Y191" s="61">
        <f>IF(SP128!V191="","",Spielereingabe!H68)</f>
      </c>
      <c r="Z191" s="61">
        <f>IF(SP128!V191="","",Spielereingabe!I68)</f>
      </c>
      <c r="AA191" s="62">
        <f>IF(SP128!V191="","",SP128!X62)</f>
      </c>
      <c r="AB191" s="62">
        <f>IF(SP128!V191="","",SP128!Z62)</f>
      </c>
      <c r="AC191" s="62">
        <f>IF(SP128!V191="","",SP128!AA62)</f>
      </c>
      <c r="AD191" s="62">
        <f>IF(SP128!V191="","",SP128!AC62)</f>
      </c>
      <c r="AE191" s="62">
        <f>IF(SP128!V191="","",SP128!AD62)</f>
      </c>
      <c r="AF191" s="235">
        <f>IF(SP128!V191="","",SP128!AE62)</f>
      </c>
      <c r="AG191" s="240"/>
      <c r="AH191" s="241"/>
      <c r="AM191" s="127"/>
      <c r="AO191" s="127"/>
      <c r="AP191" s="127"/>
      <c r="AQ191" s="127"/>
      <c r="AR191" s="127"/>
    </row>
    <row r="192" spans="3:44" ht="10.5" thickBot="1">
      <c r="C192" s="74">
        <v>190</v>
      </c>
      <c r="D192" s="115" t="str">
        <f>IF(D125="Sieger 53","Sieger 123",IF(E125="Sieger 54","Sieger 123",IF(D125=E125,"Freilos",IF(E125="Freilos",D125,IF(D125="Freilos",E125,IF(F125&gt;G125,D125,IF(G125&gt;F125,E125,"Sieger 123")))))))</f>
        <v>Sieger 123</v>
      </c>
      <c r="E192" s="142" t="str">
        <f>IF(D126="Sieger 55","Sieger 124",IF(E126="Sieger 56","Sieger 124",IF(D126=E126,"Freilos",IF(E126="Freilos",D126,IF(D126="Freilos",E126,IF(F126&gt;G126,D126,IF(G126&gt;F126,E126,"Sieger 124")))))))</f>
        <v>Sieger 124</v>
      </c>
      <c r="F192" s="143"/>
      <c r="G192" s="118"/>
      <c r="H192" s="99"/>
      <c r="I192" s="99"/>
      <c r="J192" s="99"/>
      <c r="K192" s="119"/>
      <c r="L192" s="71"/>
      <c r="M192" s="59"/>
      <c r="N192" s="48">
        <f t="shared" si="46"/>
        <v>0</v>
      </c>
      <c r="O192" s="48">
        <f t="shared" si="47"/>
        <v>0</v>
      </c>
      <c r="P192" s="48">
        <f t="shared" si="48"/>
        <v>0</v>
      </c>
      <c r="Q192" s="48">
        <f t="shared" si="49"/>
        <v>0</v>
      </c>
      <c r="R192" s="48">
        <f t="shared" si="50"/>
        <v>0</v>
      </c>
      <c r="S192" s="48">
        <f t="shared" si="51"/>
        <v>0</v>
      </c>
      <c r="T192" s="72">
        <f t="shared" si="54"/>
        <v>0</v>
      </c>
      <c r="U192" s="72">
        <f t="shared" si="55"/>
        <v>0</v>
      </c>
      <c r="V192" s="60">
        <f>IF(Spielereingabe!F69="","",61)</f>
      </c>
      <c r="W192" s="61">
        <f>IF(SP128!V192="","",Spielereingabe!F69)</f>
      </c>
      <c r="X192" s="61">
        <f>IF(SP128!V192="","",Spielereingabe!G69)</f>
      </c>
      <c r="Y192" s="61">
        <f>IF(SP128!V192="","",Spielereingabe!H69)</f>
      </c>
      <c r="Z192" s="61">
        <f>IF(SP128!V192="","",Spielereingabe!I69)</f>
      </c>
      <c r="AA192" s="62">
        <f>IF(SP128!V192="","",SP128!X63)</f>
      </c>
      <c r="AB192" s="62">
        <f>IF(SP128!V192="","",SP128!Z63)</f>
      </c>
      <c r="AC192" s="62">
        <f>IF(SP128!V192="","",SP128!AA63)</f>
      </c>
      <c r="AD192" s="62">
        <f>IF(SP128!V192="","",SP128!AC63)</f>
      </c>
      <c r="AE192" s="62">
        <f>IF(SP128!V192="","",SP128!AD63)</f>
      </c>
      <c r="AF192" s="235">
        <f>IF(SP128!V192="","",SP128!AE63)</f>
      </c>
      <c r="AG192" s="240"/>
      <c r="AH192" s="241"/>
      <c r="AM192" s="127"/>
      <c r="AO192" s="127"/>
      <c r="AP192" s="127"/>
      <c r="AQ192" s="127"/>
      <c r="AR192" s="127"/>
    </row>
    <row r="193" spans="3:44" ht="10.5" thickBot="1">
      <c r="C193" s="74">
        <v>191</v>
      </c>
      <c r="D193" s="115" t="str">
        <f>IF(D127="Sieger 57","Sieger 125",IF(E127="Sieger 58","Sieger 125",IF(D127=E127,"Freilos",IF(E127="Freilos",D127,IF(D127="Freilos",E127,IF(F127&gt;G127,D127,IF(G127&gt;F127,E127,"Sieger 125")))))))</f>
        <v>Sieger 125</v>
      </c>
      <c r="E193" s="142" t="str">
        <f>IF(D128="Sieger 59","Sieger 126",IF(E128="Sieger 60","Sieger 126",IF(D128=E128,"Freilos",IF(E128="Freilos",D128,IF(D128="Freilos",E128,IF(F128&gt;G128,D128,IF(G128&gt;F128,E128,"Sieger 126")))))))</f>
        <v>Sieger 126</v>
      </c>
      <c r="F193" s="143"/>
      <c r="G193" s="118"/>
      <c r="H193" s="99"/>
      <c r="I193" s="99"/>
      <c r="J193" s="99"/>
      <c r="K193" s="119"/>
      <c r="L193" s="71"/>
      <c r="M193" s="59"/>
      <c r="N193" s="48">
        <f t="shared" si="46"/>
        <v>0</v>
      </c>
      <c r="O193" s="48">
        <f t="shared" si="47"/>
        <v>0</v>
      </c>
      <c r="P193" s="48">
        <f t="shared" si="48"/>
        <v>0</v>
      </c>
      <c r="Q193" s="48">
        <f t="shared" si="49"/>
        <v>0</v>
      </c>
      <c r="R193" s="48">
        <f t="shared" si="50"/>
        <v>0</v>
      </c>
      <c r="S193" s="48">
        <f t="shared" si="51"/>
        <v>0</v>
      </c>
      <c r="T193" s="72">
        <f t="shared" si="54"/>
        <v>0</v>
      </c>
      <c r="U193" s="72">
        <f t="shared" si="55"/>
        <v>0</v>
      </c>
      <c r="V193" s="60">
        <f>IF(Spielereingabe!F70="","",62)</f>
      </c>
      <c r="W193" s="61">
        <f>IF(SP128!V193="","",Spielereingabe!F70)</f>
      </c>
      <c r="X193" s="61">
        <f>IF(SP128!V193="","",Spielereingabe!G70)</f>
      </c>
      <c r="Y193" s="61">
        <f>IF(SP128!V193="","",Spielereingabe!H70)</f>
      </c>
      <c r="Z193" s="61">
        <f>IF(SP128!V193="","",Spielereingabe!I70)</f>
      </c>
      <c r="AA193" s="62">
        <f>IF(SP128!V193="","",SP128!X64)</f>
      </c>
      <c r="AB193" s="62">
        <f>IF(SP128!V193="","",SP128!Z64)</f>
      </c>
      <c r="AC193" s="62">
        <f>IF(SP128!V193="","",SP128!AA64)</f>
      </c>
      <c r="AD193" s="62">
        <f>IF(SP128!V193="","",SP128!AC64)</f>
      </c>
      <c r="AE193" s="62">
        <f>IF(SP128!V193="","",SP128!AD64)</f>
      </c>
      <c r="AF193" s="235">
        <f>IF(SP128!V193="","",SP128!AE64)</f>
      </c>
      <c r="AG193" s="240"/>
      <c r="AH193" s="241"/>
      <c r="AM193" s="127"/>
      <c r="AO193" s="127"/>
      <c r="AP193" s="127"/>
      <c r="AQ193" s="127"/>
      <c r="AR193" s="127"/>
    </row>
    <row r="194" spans="3:44" ht="10.5" thickBot="1">
      <c r="C194" s="74">
        <v>192</v>
      </c>
      <c r="D194" s="120" t="str">
        <f>IF(D129="Sieger 61","Sieger 127",IF(E129="Sieger 62","Sieger 127",IF(D129=E129,"Freilos",IF(E129="Freilos",D129,IF(D129="Freilos",E129,IF(F129&gt;G129,D129,IF(G129&gt;F129,E129,"Sieger 127")))))))</f>
        <v>Sieger 127</v>
      </c>
      <c r="E194" s="144" t="str">
        <f>IF(D130="Sieger 63","Sieger 128",IF(E130="Sieger 64","Sieger 128",IF(D130=E130,"Freilos",IF(E130="Freilos",D130,IF(D130="Freilos",E130,IF(F130&gt;G130,D130,IF(G130&gt;F130,E130,"Sieger 128")))))))</f>
        <v>Sieger 128</v>
      </c>
      <c r="F194" s="145"/>
      <c r="G194" s="146"/>
      <c r="H194" s="105"/>
      <c r="I194" s="105"/>
      <c r="J194" s="105"/>
      <c r="K194" s="147"/>
      <c r="L194" s="71"/>
      <c r="M194" s="59"/>
      <c r="N194" s="48">
        <f t="shared" si="46"/>
        <v>0</v>
      </c>
      <c r="O194" s="48">
        <f t="shared" si="47"/>
        <v>0</v>
      </c>
      <c r="P194" s="48">
        <f t="shared" si="48"/>
        <v>0</v>
      </c>
      <c r="Q194" s="48">
        <f t="shared" si="49"/>
        <v>0</v>
      </c>
      <c r="R194" s="48">
        <f t="shared" si="50"/>
        <v>0</v>
      </c>
      <c r="S194" s="48">
        <f t="shared" si="51"/>
        <v>0</v>
      </c>
      <c r="T194" s="72">
        <f t="shared" si="54"/>
        <v>0</v>
      </c>
      <c r="U194" s="72">
        <f t="shared" si="55"/>
        <v>0</v>
      </c>
      <c r="V194" s="60">
        <f>IF(Spielereingabe!F71="","",63)</f>
      </c>
      <c r="W194" s="61">
        <f>IF(SP128!V194="","",Spielereingabe!F71)</f>
      </c>
      <c r="X194" s="61">
        <f>IF(SP128!V194="","",Spielereingabe!G71)</f>
      </c>
      <c r="Y194" s="61">
        <f>IF(SP128!V194="","",Spielereingabe!H71)</f>
      </c>
      <c r="Z194" s="61">
        <f>IF(SP128!V194="","",Spielereingabe!I71)</f>
      </c>
      <c r="AA194" s="62">
        <f>IF(SP128!V194="","",SP128!X65)</f>
      </c>
      <c r="AB194" s="62">
        <f>IF(SP128!V194="","",SP128!Z65)</f>
      </c>
      <c r="AC194" s="62">
        <f>IF(SP128!V194="","",SP128!AA65)</f>
      </c>
      <c r="AD194" s="62">
        <f>IF(SP128!V194="","",SP128!AC65)</f>
      </c>
      <c r="AE194" s="62">
        <f>IF(SP128!V194="","",SP128!AD65)</f>
      </c>
      <c r="AF194" s="235">
        <f>IF(SP128!V194="","",SP128!AE65)</f>
      </c>
      <c r="AG194" s="240"/>
      <c r="AH194" s="241"/>
      <c r="AM194" s="127"/>
      <c r="AO194" s="127"/>
      <c r="AP194" s="127"/>
      <c r="AQ194" s="127"/>
      <c r="AR194" s="127"/>
    </row>
    <row r="195" spans="2:34" ht="10.5" thickBot="1">
      <c r="B195" s="88" t="s">
        <v>30</v>
      </c>
      <c r="C195" s="148">
        <v>193</v>
      </c>
      <c r="D195" s="149" t="str">
        <f>IF(D163="Sieger 129","Sieger 161",IF(E163="Sieger 130","Sieger 161",IF(D163=E163,"Freilos",IF(E163="Freilos",D163,IF(D163="Freilos",E163,IF(F163&gt;G163,D163,IF(G163&gt;F163,E163,"Sieger 161")))))))</f>
        <v>Sieger 161</v>
      </c>
      <c r="E195" s="90" t="str">
        <f>IF(D181="Sieger 101","Verlierer 179",IF(E181="Sieger 102","Verlierer 179",IF(D181=E181,"Freilos",IF(E181="Freilos",E181,IF(D181="Freilos",D181,IF(F181&gt;G181,E181,IF(G181&gt;F181,D181,"Verlierer 179")))))))</f>
        <v>Verlierer 179</v>
      </c>
      <c r="F195" s="150"/>
      <c r="G195" s="113"/>
      <c r="H195" s="151"/>
      <c r="I195" s="151"/>
      <c r="J195" s="151"/>
      <c r="K195" s="152"/>
      <c r="L195" s="71"/>
      <c r="M195" s="95">
        <f aca="true" t="shared" si="56" ref="M195:M218">IF(F195&gt;G195,E195,IF(G195&gt;F195,D195,""))</f>
      </c>
      <c r="N195" s="48">
        <f>F195+G195</f>
        <v>0</v>
      </c>
      <c r="O195" s="48">
        <f>N195</f>
        <v>0</v>
      </c>
      <c r="P195" s="48">
        <f>IF(D195="Freilos",0,IF(F195&lt;G195,1,IF(F195&gt;G195,1,0)))</f>
        <v>0</v>
      </c>
      <c r="Q195" s="48">
        <f>IF(D195="Freilos",0,IF(F195&lt;G195,1,IF(F195&gt;G195,1,0)))</f>
        <v>0</v>
      </c>
      <c r="R195" s="48">
        <f>IF(D195="Freilos",0,IF(F195&gt;G195,1,0))</f>
        <v>0</v>
      </c>
      <c r="S195" s="48">
        <f>IF(D195="Freilos",0,IF(G195&gt;F195,1,0))</f>
        <v>0</v>
      </c>
      <c r="T195" s="72">
        <f>IF(E197="Freilos",3,IF(F195&gt;G195,3,0))</f>
        <v>0</v>
      </c>
      <c r="U195" s="72">
        <f>IF(D195="Freilos",3,IF(G195&gt;F195,3,0))</f>
        <v>0</v>
      </c>
      <c r="V195" s="60">
        <f>IF(Spielereingabe!F72="","",64)</f>
      </c>
      <c r="W195" s="61">
        <f>IF(SP128!V195="","",Spielereingabe!F72)</f>
      </c>
      <c r="X195" s="61">
        <f>IF(SP128!V195="","",Spielereingabe!G72)</f>
      </c>
      <c r="Y195" s="61">
        <f>IF(SP128!V195="","",Spielereingabe!H72)</f>
      </c>
      <c r="Z195" s="61">
        <f>IF(SP128!V195="","",Spielereingabe!I72)</f>
      </c>
      <c r="AA195" s="62">
        <f>IF(SP128!V195="","",SP128!X66)</f>
      </c>
      <c r="AB195" s="62">
        <f>IF(SP128!V195="","",SP128!Z66)</f>
      </c>
      <c r="AC195" s="62">
        <f>IF(SP128!V195="","",SP128!AA66)</f>
      </c>
      <c r="AD195" s="62">
        <f>IF(SP128!V195="","",SP128!AC66)</f>
      </c>
      <c r="AE195" s="62">
        <f>IF(SP128!V195="","",SP128!AD66)</f>
      </c>
      <c r="AF195" s="235">
        <f>IF(SP128!V195="","",SP128!AE66)</f>
      </c>
      <c r="AG195" s="238"/>
      <c r="AH195" s="239"/>
    </row>
    <row r="196" spans="3:34" ht="10.5" thickBot="1">
      <c r="C196" s="148">
        <v>194</v>
      </c>
      <c r="D196" s="153" t="str">
        <f>IF(D164="Sieger 131","Sieger 162",IF(E164="Sieger 132","Sieger 162",IF(D164=E164,"Freilos",IF(E164="Freilos",D164,IF(D164="Freilos",E164,IF(F164&gt;G164,D164,IF(G164&gt;F164,E164,"Sieger 162")))))))</f>
        <v>Sieger 162</v>
      </c>
      <c r="E196" s="97" t="str">
        <f>IF(D182="Sieger 103","Verlierer 180",IF(E182="Sieger 104","Verlierer 180",IF(D182=E182,"Freilos",IF(E182="Freilos",E182,IF(D182="Freilos",D182,IF(F182&gt;G182,E182,IF(G182&gt;F182,D182,"Verlierer 180")))))))</f>
        <v>Verlierer 180</v>
      </c>
      <c r="F196" s="128"/>
      <c r="G196" s="99"/>
      <c r="H196" s="154"/>
      <c r="I196" s="154"/>
      <c r="J196" s="154"/>
      <c r="K196" s="155"/>
      <c r="L196" s="71"/>
      <c r="M196" s="95">
        <f t="shared" si="56"/>
      </c>
      <c r="N196" s="48">
        <f aca="true" t="shared" si="57" ref="N196:N257">F196+G196</f>
        <v>0</v>
      </c>
      <c r="O196" s="48">
        <f aca="true" t="shared" si="58" ref="O196:O257">N196</f>
        <v>0</v>
      </c>
      <c r="P196" s="48">
        <f aca="true" t="shared" si="59" ref="P196:P257">IF(D196="Freilos",0,IF(F196&lt;G196,1,IF(F196&gt;G196,1,0)))</f>
        <v>0</v>
      </c>
      <c r="Q196" s="48">
        <f>IF(D196="Freilos",0,IF(F196&lt;G196,1,IF(F196&gt;G196,1,0)))</f>
        <v>0</v>
      </c>
      <c r="R196" s="48">
        <f aca="true" t="shared" si="60" ref="R196:R257">IF(D196="Freilos",0,IF(F196&gt;G196,1,0))</f>
        <v>0</v>
      </c>
      <c r="S196" s="48">
        <f aca="true" t="shared" si="61" ref="S196:S257">IF(D196="Freilos",0,IF(G196&gt;F196,1,0))</f>
        <v>0</v>
      </c>
      <c r="T196" s="72">
        <f>IF(E198="Freilos",3,IF(F196&gt;G196,3,0))</f>
        <v>0</v>
      </c>
      <c r="U196" s="72">
        <f aca="true" t="shared" si="62" ref="U196:U257">IF(D196="Freilos",3,IF(G196&gt;F196,3,0))</f>
        <v>0</v>
      </c>
      <c r="V196" s="60">
        <f>IF(Spielereingabe!F73="","",65)</f>
      </c>
      <c r="W196" s="61">
        <f>IF(SP128!V196="","",Spielereingabe!F73)</f>
      </c>
      <c r="X196" s="61">
        <f>IF(SP128!V196="","",Spielereingabe!G73)</f>
      </c>
      <c r="Y196" s="61">
        <f>IF(SP128!V196="","",Spielereingabe!H73)</f>
      </c>
      <c r="Z196" s="61">
        <f>IF(SP128!V196="","",Spielereingabe!I73)</f>
      </c>
      <c r="AA196" s="62">
        <f>IF(SP128!V196="","",SP128!X67)</f>
      </c>
      <c r="AB196" s="62">
        <f>IF(SP128!V196="","",SP128!Z67)</f>
      </c>
      <c r="AC196" s="62">
        <f>IF(SP128!V196="","",SP128!AA67)</f>
      </c>
      <c r="AD196" s="62">
        <f>IF(SP128!V196="","",SP128!AC67)</f>
      </c>
      <c r="AE196" s="62">
        <f>IF(SP128!V196="","",SP128!AD67)</f>
      </c>
      <c r="AF196" s="235">
        <f>IF(SP128!V196="","",SP128!AE67)</f>
      </c>
      <c r="AG196" s="238"/>
      <c r="AH196" s="239"/>
    </row>
    <row r="197" spans="3:34" ht="10.5" thickBot="1">
      <c r="C197" s="148">
        <v>195</v>
      </c>
      <c r="D197" s="153" t="str">
        <f>IF(D165="Sieger 133","Sieger 163",IF(E165="Sieger 134","Sieger 163",IF(D165=E165,"Freilos",IF(E165="Freilos",D165,IF(D165="Freilos",E165,IF(F165&gt;G165,D165,IF(G165&gt;F165,E165,"Sieger 163")))))))</f>
        <v>Sieger 163</v>
      </c>
      <c r="E197" s="97" t="str">
        <f>IF(D179="Sieger 97","Verlierer 177",IF(E179="Sieger 98","Verlierer 177",IF(D179=E179,"Freilos",IF(E179="Freilos",E179,IF(D179="Freilos",D179,IF(F179&gt;G179,E179,IF(G179&gt;F179,D179,"Verlierer 177")))))))</f>
        <v>Verlierer 177</v>
      </c>
      <c r="F197" s="128"/>
      <c r="G197" s="99"/>
      <c r="H197" s="154"/>
      <c r="I197" s="154"/>
      <c r="J197" s="154"/>
      <c r="K197" s="155"/>
      <c r="L197" s="71"/>
      <c r="M197" s="95">
        <f t="shared" si="56"/>
      </c>
      <c r="N197" s="48">
        <f t="shared" si="57"/>
        <v>0</v>
      </c>
      <c r="O197" s="48">
        <f t="shared" si="58"/>
        <v>0</v>
      </c>
      <c r="P197" s="48">
        <f t="shared" si="59"/>
        <v>0</v>
      </c>
      <c r="Q197" s="48">
        <f aca="true" t="shared" si="63" ref="Q197:Q257">IF(D197="Freilos",0,IF(F197&lt;G197,1,IF(F197&gt;G197,1,0)))</f>
        <v>0</v>
      </c>
      <c r="R197" s="48">
        <f t="shared" si="60"/>
        <v>0</v>
      </c>
      <c r="S197" s="48">
        <f t="shared" si="61"/>
        <v>0</v>
      </c>
      <c r="T197" s="72">
        <f>IF(E195="Freilos",3,IF(F197&gt;G197,3,0))</f>
        <v>0</v>
      </c>
      <c r="U197" s="72">
        <f t="shared" si="62"/>
        <v>0</v>
      </c>
      <c r="V197" s="60">
        <f>IF(Spielereingabe!F74="","",66)</f>
      </c>
      <c r="W197" s="61">
        <f>IF(SP128!V197="","",Spielereingabe!F74)</f>
      </c>
      <c r="X197" s="61">
        <f>IF(SP128!V197="","",Spielereingabe!G74)</f>
      </c>
      <c r="Y197" s="61">
        <f>IF(SP128!V197="","",Spielereingabe!H74)</f>
      </c>
      <c r="Z197" s="61">
        <f>IF(SP128!V197="","",Spielereingabe!I74)</f>
      </c>
      <c r="AA197" s="62">
        <f>IF(SP128!V197="","",SP128!X68)</f>
      </c>
      <c r="AB197" s="62">
        <f>IF(SP128!V197="","",SP128!Z68)</f>
      </c>
      <c r="AC197" s="62">
        <f>IF(SP128!V197="","",SP128!AA68)</f>
      </c>
      <c r="AD197" s="62">
        <f>IF(SP128!V197="","",SP128!AC68)</f>
      </c>
      <c r="AE197" s="62">
        <f>IF(SP128!V197="","",SP128!AD68)</f>
      </c>
      <c r="AF197" s="235">
        <f>IF(SP128!V197="","",SP128!AE68)</f>
      </c>
      <c r="AG197" s="238"/>
      <c r="AH197" s="239"/>
    </row>
    <row r="198" spans="3:34" ht="10.5" thickBot="1">
      <c r="C198" s="148">
        <v>196</v>
      </c>
      <c r="D198" s="153" t="str">
        <f>IF(D166="Sieger 135","Sieger 164",IF(E166="Sieger 136","Sieger 164",IF(D166=E166,"Freilos",IF(E166="Freilos",D166,IF(D166="Freilos",E166,IF(F166&gt;G166,D166,IF(G166&gt;F166,E166,"Sieger 164")))))))</f>
        <v>Sieger 164</v>
      </c>
      <c r="E198" s="97" t="str">
        <f>IF(D180="Sieger 99","Verlierer 178",IF(E180="Sieger 100","Verlierer 178",IF(D180=E180,"Freilos",IF(E180="Freilos",E180,IF(D180="Freilos",D180,IF(F180&gt;G180,E180,IF(G180&gt;F180,D180,"Verlierer 178")))))))</f>
        <v>Verlierer 178</v>
      </c>
      <c r="F198" s="128"/>
      <c r="G198" s="99"/>
      <c r="H198" s="154"/>
      <c r="I198" s="154"/>
      <c r="J198" s="154"/>
      <c r="K198" s="155"/>
      <c r="L198" s="71"/>
      <c r="M198" s="95">
        <f t="shared" si="56"/>
      </c>
      <c r="N198" s="48">
        <f t="shared" si="57"/>
        <v>0</v>
      </c>
      <c r="O198" s="48">
        <f t="shared" si="58"/>
        <v>0</v>
      </c>
      <c r="P198" s="48">
        <f t="shared" si="59"/>
        <v>0</v>
      </c>
      <c r="Q198" s="48">
        <f t="shared" si="63"/>
        <v>0</v>
      </c>
      <c r="R198" s="48">
        <f t="shared" si="60"/>
        <v>0</v>
      </c>
      <c r="S198" s="48">
        <f t="shared" si="61"/>
        <v>0</v>
      </c>
      <c r="T198" s="72">
        <f>IF(E196="Freilos",3,IF(F198&gt;G198,3,0))</f>
        <v>0</v>
      </c>
      <c r="U198" s="72">
        <f t="shared" si="62"/>
        <v>0</v>
      </c>
      <c r="V198" s="60">
        <f>IF(Spielereingabe!F75="","",67)</f>
      </c>
      <c r="W198" s="61">
        <f>IF(SP128!V198="","",Spielereingabe!F75)</f>
      </c>
      <c r="X198" s="61">
        <f>IF(SP128!V198="","",Spielereingabe!G75)</f>
      </c>
      <c r="Y198" s="61">
        <f>IF(SP128!V198="","",Spielereingabe!H75)</f>
      </c>
      <c r="Z198" s="61">
        <f>IF(SP128!V198="","",Spielereingabe!I75)</f>
      </c>
      <c r="AA198" s="62">
        <f>IF(SP128!V198="","",SP128!X69)</f>
      </c>
      <c r="AB198" s="62">
        <f>IF(SP128!V198="","",SP128!Z69)</f>
      </c>
      <c r="AC198" s="62">
        <f>IF(SP128!V198="","",SP128!AA69)</f>
      </c>
      <c r="AD198" s="62">
        <f>IF(SP128!V198="","",SP128!AC69)</f>
      </c>
      <c r="AE198" s="62">
        <f>IF(SP128!V198="","",SP128!AD69)</f>
      </c>
      <c r="AF198" s="235">
        <f>IF(SP128!V198="","",SP128!AE69)</f>
      </c>
      <c r="AG198" s="238"/>
      <c r="AH198" s="239"/>
    </row>
    <row r="199" spans="3:34" ht="10.5" thickBot="1">
      <c r="C199" s="148">
        <v>197</v>
      </c>
      <c r="D199" s="153" t="str">
        <f>IF(D167="Sieger 137","Sieger 165",IF(E167="Sieger 138","Sieger 165",IF(D167=E167,"Freilos",IF(E167="Freilos",D167,IF(D167="Freilos",E167,IF(F167&gt;G167,D167,IF(G167&gt;F167,E167,"Sieger 165")))))))</f>
        <v>Sieger 165</v>
      </c>
      <c r="E199" s="97" t="str">
        <f>IF(D185="Sieger 109","Verlierer 183",IF(E185="Sieger 110","Verlierer 183",IF(D185=E185,"Freilos",IF(E185="Freilos",E185,IF(D185="Freilos",D185,IF(F185&gt;G185,E185,IF(G185&gt;F185,D185,"Verlierer 183")))))))</f>
        <v>Verlierer 183</v>
      </c>
      <c r="F199" s="128"/>
      <c r="G199" s="99"/>
      <c r="H199" s="154"/>
      <c r="I199" s="154"/>
      <c r="J199" s="154"/>
      <c r="K199" s="155"/>
      <c r="L199" s="71"/>
      <c r="M199" s="95">
        <f t="shared" si="56"/>
      </c>
      <c r="N199" s="48">
        <f t="shared" si="57"/>
        <v>0</v>
      </c>
      <c r="O199" s="48">
        <f t="shared" si="58"/>
        <v>0</v>
      </c>
      <c r="P199" s="48">
        <f t="shared" si="59"/>
        <v>0</v>
      </c>
      <c r="Q199" s="48">
        <f t="shared" si="63"/>
        <v>0</v>
      </c>
      <c r="R199" s="48">
        <f t="shared" si="60"/>
        <v>0</v>
      </c>
      <c r="S199" s="48">
        <f t="shared" si="61"/>
        <v>0</v>
      </c>
      <c r="T199" s="72">
        <f>IF(E201="Freilos",3,IF(F199&gt;G199,3,0))</f>
        <v>0</v>
      </c>
      <c r="U199" s="72">
        <f t="shared" si="62"/>
        <v>0</v>
      </c>
      <c r="V199" s="60">
        <f>IF(Spielereingabe!F76="","",68)</f>
      </c>
      <c r="W199" s="61">
        <f>IF(SP128!V199="","",Spielereingabe!F76)</f>
      </c>
      <c r="X199" s="61">
        <f>IF(SP128!V199="","",Spielereingabe!G76)</f>
      </c>
      <c r="Y199" s="61">
        <f>IF(SP128!V199="","",Spielereingabe!H76)</f>
      </c>
      <c r="Z199" s="61">
        <f>IF(SP128!V199="","",Spielereingabe!I76)</f>
      </c>
      <c r="AA199" s="62">
        <f>IF(SP128!V199="","",SP128!X70)</f>
      </c>
      <c r="AB199" s="62">
        <f>IF(SP128!V199="","",SP128!Z70)</f>
      </c>
      <c r="AC199" s="62">
        <f>IF(SP128!V199="","",SP128!AA70)</f>
      </c>
      <c r="AD199" s="62">
        <f>IF(SP128!V199="","",SP128!AC70)</f>
      </c>
      <c r="AE199" s="62">
        <f>IF(SP128!V199="","",SP128!AD70)</f>
      </c>
      <c r="AF199" s="235">
        <f>IF(SP128!V199="","",SP128!AE70)</f>
      </c>
      <c r="AG199" s="238"/>
      <c r="AH199" s="239"/>
    </row>
    <row r="200" spans="3:34" ht="10.5" thickBot="1">
      <c r="C200" s="148">
        <v>198</v>
      </c>
      <c r="D200" s="153" t="str">
        <f>IF(D168="Sieger 139","Sieger 166",IF(E168="Sieger 140","Sieger 166",IF(D168=E168,"Freilos",IF(E168="Freilos",D168,IF(D168="Freilos",E168,IF(F168&gt;G168,D168,IF(G168&gt;F168,E168,"Sieger 166")))))))</f>
        <v>Sieger 166</v>
      </c>
      <c r="E200" s="97" t="str">
        <f>IF(D186="Sieger 111","Verlierer 184",IF(E186="Sieger 112","Verlierer 184",IF(D186=E186,"Freilos",IF(E186="Freilos",E186,IF(D186="Freilos",D186,IF(F186&gt;G186,E186,IF(G186&gt;F186,D186,"Verlierer 184")))))))</f>
        <v>Verlierer 184</v>
      </c>
      <c r="F200" s="128"/>
      <c r="G200" s="99"/>
      <c r="H200" s="154"/>
      <c r="I200" s="154"/>
      <c r="J200" s="154"/>
      <c r="K200" s="155"/>
      <c r="L200" s="71"/>
      <c r="M200" s="95">
        <f t="shared" si="56"/>
      </c>
      <c r="N200" s="48">
        <f t="shared" si="57"/>
        <v>0</v>
      </c>
      <c r="O200" s="48">
        <f t="shared" si="58"/>
        <v>0</v>
      </c>
      <c r="P200" s="48">
        <f t="shared" si="59"/>
        <v>0</v>
      </c>
      <c r="Q200" s="48">
        <f t="shared" si="63"/>
        <v>0</v>
      </c>
      <c r="R200" s="48">
        <f t="shared" si="60"/>
        <v>0</v>
      </c>
      <c r="S200" s="48">
        <f t="shared" si="61"/>
        <v>0</v>
      </c>
      <c r="T200" s="72">
        <f>IF(E202="Freilos",3,IF(F200&gt;G200,3,0))</f>
        <v>0</v>
      </c>
      <c r="U200" s="72">
        <f t="shared" si="62"/>
        <v>0</v>
      </c>
      <c r="V200" s="60">
        <f>IF(Spielereingabe!F77="","",69)</f>
      </c>
      <c r="W200" s="61">
        <f>IF(SP128!V200="","",Spielereingabe!F77)</f>
      </c>
      <c r="X200" s="61">
        <f>IF(SP128!V200="","",Spielereingabe!G77)</f>
      </c>
      <c r="Y200" s="61">
        <f>IF(SP128!V200="","",Spielereingabe!H77)</f>
      </c>
      <c r="Z200" s="61">
        <f>IF(SP128!V200="","",Spielereingabe!I77)</f>
      </c>
      <c r="AA200" s="62">
        <f>IF(SP128!V200="","",SP128!X71)</f>
      </c>
      <c r="AB200" s="62">
        <f>IF(SP128!V200="","",SP128!Z71)</f>
      </c>
      <c r="AC200" s="62">
        <f>IF(SP128!V200="","",SP128!AA71)</f>
      </c>
      <c r="AD200" s="62">
        <f>IF(SP128!V200="","",SP128!AC71)</f>
      </c>
      <c r="AE200" s="62">
        <f>IF(SP128!V200="","",SP128!AD71)</f>
      </c>
      <c r="AF200" s="235">
        <f>IF(SP128!V200="","",SP128!AE71)</f>
      </c>
      <c r="AG200" s="238"/>
      <c r="AH200" s="239"/>
    </row>
    <row r="201" spans="3:34" ht="10.5" thickBot="1">
      <c r="C201" s="148">
        <v>199</v>
      </c>
      <c r="D201" s="153" t="str">
        <f>IF(D169="Sieger 141","Sieger 167",IF(E169="Sieger 142","Sieger 167",IF(D169=E169,"Freilos",IF(E169="Freilos",D169,IF(D169="Freilos",E169,IF(F169&gt;G169,D169,IF(G169&gt;F169,E169,"Sieger 167")))))))</f>
        <v>Sieger 167</v>
      </c>
      <c r="E201" s="97" t="str">
        <f>IF(D183="Sieger 105","Verlierer 181",IF(E183="Sieger 106","Verlierer 181",IF(D183=E183,"Freilos",IF(E183="Freilos",E183,IF(D183="Freilos",D183,IF(F183&gt;G183,E183,IF(G183&gt;F183,D183,"Verlierer 181")))))))</f>
        <v>Verlierer 181</v>
      </c>
      <c r="F201" s="128"/>
      <c r="G201" s="99"/>
      <c r="H201" s="154"/>
      <c r="I201" s="154"/>
      <c r="J201" s="154"/>
      <c r="K201" s="155"/>
      <c r="L201" s="71"/>
      <c r="M201" s="95">
        <f t="shared" si="56"/>
      </c>
      <c r="N201" s="48">
        <f t="shared" si="57"/>
        <v>0</v>
      </c>
      <c r="O201" s="48">
        <f t="shared" si="58"/>
        <v>0</v>
      </c>
      <c r="P201" s="48">
        <f t="shared" si="59"/>
        <v>0</v>
      </c>
      <c r="Q201" s="48">
        <f t="shared" si="63"/>
        <v>0</v>
      </c>
      <c r="R201" s="48">
        <f t="shared" si="60"/>
        <v>0</v>
      </c>
      <c r="S201" s="48">
        <f t="shared" si="61"/>
        <v>0</v>
      </c>
      <c r="T201" s="72">
        <f>IF(E199="Freilos",3,IF(F201&gt;G201,3,0))</f>
        <v>0</v>
      </c>
      <c r="U201" s="72">
        <f t="shared" si="62"/>
        <v>0</v>
      </c>
      <c r="V201" s="60">
        <f>IF(Spielereingabe!F78="","",70)</f>
      </c>
      <c r="W201" s="61">
        <f>IF(SP128!V201="","",Spielereingabe!F78)</f>
      </c>
      <c r="X201" s="61">
        <f>IF(SP128!V201="","",Spielereingabe!G78)</f>
      </c>
      <c r="Y201" s="61">
        <f>IF(SP128!V201="","",Spielereingabe!H78)</f>
      </c>
      <c r="Z201" s="61">
        <f>IF(SP128!V201="","",Spielereingabe!I78)</f>
      </c>
      <c r="AA201" s="62">
        <f>IF(SP128!V201="","",SP128!X72)</f>
      </c>
      <c r="AB201" s="62">
        <f>IF(SP128!V201="","",SP128!Z72)</f>
      </c>
      <c r="AC201" s="62">
        <f>IF(SP128!V201="","",SP128!AA72)</f>
      </c>
      <c r="AD201" s="62">
        <f>IF(SP128!V201="","",SP128!AC72)</f>
      </c>
      <c r="AE201" s="62">
        <f>IF(SP128!V201="","",SP128!AD72)</f>
      </c>
      <c r="AF201" s="235">
        <f>IF(SP128!V201="","",SP128!AE72)</f>
      </c>
      <c r="AG201" s="238"/>
      <c r="AH201" s="239"/>
    </row>
    <row r="202" spans="3:34" ht="10.5" thickBot="1">
      <c r="C202" s="148">
        <v>200</v>
      </c>
      <c r="D202" s="153" t="str">
        <f>IF(D170="Sieger 143","Sieger 168",IF(E170="Sieger 144","Sieger 168",IF(D170=E170,"Freilos",IF(E170="Freilos",D170,IF(D170="Freilos",E170,IF(F170&gt;G170,D170,IF(G170&gt;F170,E170,"Sieger 168")))))))</f>
        <v>Sieger 168</v>
      </c>
      <c r="E202" s="97" t="str">
        <f>IF(D184="Sieger 107","Verlierer 182",IF(E184="Sieger 108","Verlierer 182",IF(D184=E184,"Freilos",IF(E184="Freilos",E184,IF(D184="Freilos",D184,IF(F184&gt;G184,E184,IF(G184&gt;F184,D184,"Verlierer 182")))))))</f>
        <v>Verlierer 182</v>
      </c>
      <c r="F202" s="128"/>
      <c r="G202" s="99"/>
      <c r="H202" s="154"/>
      <c r="I202" s="154"/>
      <c r="J202" s="154"/>
      <c r="K202" s="155"/>
      <c r="L202" s="71"/>
      <c r="M202" s="95">
        <f t="shared" si="56"/>
      </c>
      <c r="N202" s="48">
        <f t="shared" si="57"/>
        <v>0</v>
      </c>
      <c r="O202" s="48">
        <f t="shared" si="58"/>
        <v>0</v>
      </c>
      <c r="P202" s="48">
        <f t="shared" si="59"/>
        <v>0</v>
      </c>
      <c r="Q202" s="48">
        <f t="shared" si="63"/>
        <v>0</v>
      </c>
      <c r="R202" s="48">
        <f t="shared" si="60"/>
        <v>0</v>
      </c>
      <c r="S202" s="48">
        <f t="shared" si="61"/>
        <v>0</v>
      </c>
      <c r="T202" s="72">
        <f>IF(E200="Freilos",3,IF(F202&gt;G202,3,0))</f>
        <v>0</v>
      </c>
      <c r="U202" s="72">
        <f t="shared" si="62"/>
        <v>0</v>
      </c>
      <c r="V202" s="60">
        <f>IF(Spielereingabe!F79="","",71)</f>
      </c>
      <c r="W202" s="61">
        <f>IF(SP128!V202="","",Spielereingabe!F79)</f>
      </c>
      <c r="X202" s="61">
        <f>IF(SP128!V202="","",Spielereingabe!G79)</f>
      </c>
      <c r="Y202" s="61">
        <f>IF(SP128!V202="","",Spielereingabe!H79)</f>
      </c>
      <c r="Z202" s="61">
        <f>IF(SP128!V202="","",Spielereingabe!I79)</f>
      </c>
      <c r="AA202" s="62">
        <f>IF(SP128!V202="","",SP128!X73)</f>
      </c>
      <c r="AB202" s="62">
        <f>IF(SP128!V202="","",SP128!Z73)</f>
      </c>
      <c r="AC202" s="62">
        <f>IF(SP128!V202="","",SP128!AA73)</f>
      </c>
      <c r="AD202" s="62">
        <f>IF(SP128!V202="","",SP128!AC73)</f>
      </c>
      <c r="AE202" s="62">
        <f>IF(SP128!V202="","",SP128!AD73)</f>
      </c>
      <c r="AF202" s="235">
        <f>IF(SP128!V202="","",SP128!AE73)</f>
      </c>
      <c r="AG202" s="238"/>
      <c r="AH202" s="239"/>
    </row>
    <row r="203" spans="3:34" ht="10.5" thickBot="1">
      <c r="C203" s="148">
        <v>201</v>
      </c>
      <c r="D203" s="153" t="str">
        <f>IF(D171="Sieger 145","Sieger 169",IF(E171="Sieger 146","Sieger 169",IF(D171=E171,"Freilos",IF(E171="Freilos",D171,IF(D171="Freilos",E171,IF(F171&gt;G171,D171,IF(G171&gt;F171,E171,"Sieger 169")))))))</f>
        <v>Sieger 169</v>
      </c>
      <c r="E203" s="97" t="str">
        <f>IF(D189="Sieger 117","Verlierer 187",IF(E189="Sieger 118","Verlierer 187",IF(D189=E189,"Freilos",IF(E189="Freilos",E189,IF(D189="Freilos",D189,IF(F189&gt;G189,E189,IF(G189&gt;F189,D189,"Verlierer 187")))))))</f>
        <v>Verlierer 187</v>
      </c>
      <c r="F203" s="128"/>
      <c r="G203" s="99"/>
      <c r="H203" s="154"/>
      <c r="I203" s="154"/>
      <c r="J203" s="154"/>
      <c r="K203" s="155"/>
      <c r="L203" s="71"/>
      <c r="M203" s="95">
        <f t="shared" si="56"/>
      </c>
      <c r="N203" s="48">
        <f t="shared" si="57"/>
        <v>0</v>
      </c>
      <c r="O203" s="48">
        <f t="shared" si="58"/>
        <v>0</v>
      </c>
      <c r="P203" s="48">
        <f t="shared" si="59"/>
        <v>0</v>
      </c>
      <c r="Q203" s="48">
        <f t="shared" si="63"/>
        <v>0</v>
      </c>
      <c r="R203" s="48">
        <f t="shared" si="60"/>
        <v>0</v>
      </c>
      <c r="S203" s="48">
        <f t="shared" si="61"/>
        <v>0</v>
      </c>
      <c r="T203" s="72">
        <f>IF(E205="Freilos",3,IF(F203&gt;G203,3,0))</f>
        <v>0</v>
      </c>
      <c r="U203" s="72">
        <f t="shared" si="62"/>
        <v>0</v>
      </c>
      <c r="V203" s="60">
        <f>IF(Spielereingabe!F80="","",72)</f>
      </c>
      <c r="W203" s="61">
        <f>IF(SP128!V203="","",Spielereingabe!F80)</f>
      </c>
      <c r="X203" s="61">
        <f>IF(SP128!V203="","",Spielereingabe!G80)</f>
      </c>
      <c r="Y203" s="61">
        <f>IF(SP128!V203="","",Spielereingabe!H80)</f>
      </c>
      <c r="Z203" s="61">
        <f>IF(SP128!V203="","",Spielereingabe!I80)</f>
      </c>
      <c r="AA203" s="62">
        <f>IF(SP128!V203="","",SP128!X74)</f>
      </c>
      <c r="AB203" s="62">
        <f>IF(SP128!V203="","",SP128!Z74)</f>
      </c>
      <c r="AC203" s="62">
        <f>IF(SP128!V203="","",SP128!AA74)</f>
      </c>
      <c r="AD203" s="62">
        <f>IF(SP128!V203="","",SP128!AC74)</f>
      </c>
      <c r="AE203" s="62">
        <f>IF(SP128!V203="","",SP128!AD74)</f>
      </c>
      <c r="AF203" s="235">
        <f>IF(SP128!V203="","",SP128!AE74)</f>
      </c>
      <c r="AG203" s="238"/>
      <c r="AH203" s="239"/>
    </row>
    <row r="204" spans="3:34" ht="10.5" thickBot="1">
      <c r="C204" s="148">
        <v>202</v>
      </c>
      <c r="D204" s="153" t="str">
        <f>IF(D172="Sieger 147","Sieger 170",IF(E172="Sieger 148","Sieger 170",IF(D172=E172,"Freilos",IF(E172="Freilos",D172,IF(D172="Freilos",E172,IF(F172&gt;G172,D172,IF(G172&gt;F172,E172,"Sieger 170")))))))</f>
        <v>Sieger 170</v>
      </c>
      <c r="E204" s="97" t="str">
        <f>IF(D190="Sieger 119","Verlierer 188",IF(E190="Sieger 120","Verlierer 188",IF(D190=E190,"Freilos",IF(E190="Freilos",E190,IF(D190="Freilos",D190,IF(F190&gt;G190,E190,IF(G190&gt;F190,D190,"Verlierer 188")))))))</f>
        <v>Verlierer 188</v>
      </c>
      <c r="F204" s="128"/>
      <c r="G204" s="99"/>
      <c r="H204" s="154"/>
      <c r="I204" s="154"/>
      <c r="J204" s="154"/>
      <c r="K204" s="155"/>
      <c r="L204" s="71"/>
      <c r="M204" s="95">
        <f t="shared" si="56"/>
      </c>
      <c r="N204" s="48">
        <f t="shared" si="57"/>
        <v>0</v>
      </c>
      <c r="O204" s="48">
        <f t="shared" si="58"/>
        <v>0</v>
      </c>
      <c r="P204" s="48">
        <f t="shared" si="59"/>
        <v>0</v>
      </c>
      <c r="Q204" s="48">
        <f t="shared" si="63"/>
        <v>0</v>
      </c>
      <c r="R204" s="48">
        <f t="shared" si="60"/>
        <v>0</v>
      </c>
      <c r="S204" s="48">
        <f t="shared" si="61"/>
        <v>0</v>
      </c>
      <c r="T204" s="72">
        <f>IF(E206="Freilos",3,IF(F204&gt;G204,3,0))</f>
        <v>0</v>
      </c>
      <c r="U204" s="72">
        <f t="shared" si="62"/>
        <v>0</v>
      </c>
      <c r="V204" s="60">
        <f>IF(Spielereingabe!F81="","",73)</f>
      </c>
      <c r="W204" s="61">
        <f>IF(SP128!V204="","",Spielereingabe!F81)</f>
      </c>
      <c r="X204" s="61">
        <f>IF(SP128!V204="","",Spielereingabe!G81)</f>
      </c>
      <c r="Y204" s="61">
        <f>IF(SP128!V204="","",Spielereingabe!H81)</f>
      </c>
      <c r="Z204" s="61">
        <f>IF(SP128!V204="","",Spielereingabe!I81)</f>
      </c>
      <c r="AA204" s="62">
        <f>IF(SP128!V204="","",SP128!X75)</f>
      </c>
      <c r="AB204" s="62">
        <f>IF(SP128!V204="","",SP128!Z75)</f>
      </c>
      <c r="AC204" s="62">
        <f>IF(SP128!V204="","",SP128!AA75)</f>
      </c>
      <c r="AD204" s="62">
        <f>IF(SP128!V204="","",SP128!AC75)</f>
      </c>
      <c r="AE204" s="62">
        <f>IF(SP128!V204="","",SP128!AD75)</f>
      </c>
      <c r="AF204" s="235">
        <f>IF(SP128!V204="","",SP128!AE75)</f>
      </c>
      <c r="AG204" s="238"/>
      <c r="AH204" s="239"/>
    </row>
    <row r="205" spans="3:34" ht="10.5" thickBot="1">
      <c r="C205" s="148">
        <v>203</v>
      </c>
      <c r="D205" s="153" t="str">
        <f>IF(D173="Sieger 149","Sieger 171",IF(E173="Sieger 150","Sieger 171",IF(D173=E173,"Freilos",IF(E173="Freilos",D173,IF(D173="Freilos",E173,IF(F173&gt;G173,D173,IF(G173&gt;F173,E173,"Sieger 171")))))))</f>
        <v>Sieger 171</v>
      </c>
      <c r="E205" s="97" t="str">
        <f>IF(D187="Sieger 113","Verlierer 185",IF(E187="Sieger 114","Verlierer 185",IF(D187=E187,"Freilos",IF(E187="Freilos",E187,IF(D187="Freilos",D187,IF(F187&gt;G187,E187,IF(G187&gt;F187,D187,"Verlierer 185")))))))</f>
        <v>Verlierer 185</v>
      </c>
      <c r="F205" s="128"/>
      <c r="G205" s="99"/>
      <c r="H205" s="154"/>
      <c r="I205" s="154"/>
      <c r="J205" s="154"/>
      <c r="K205" s="155"/>
      <c r="L205" s="71"/>
      <c r="M205" s="95">
        <f t="shared" si="56"/>
      </c>
      <c r="N205" s="48">
        <f t="shared" si="57"/>
        <v>0</v>
      </c>
      <c r="O205" s="48">
        <f t="shared" si="58"/>
        <v>0</v>
      </c>
      <c r="P205" s="48">
        <f t="shared" si="59"/>
        <v>0</v>
      </c>
      <c r="Q205" s="48">
        <f t="shared" si="63"/>
        <v>0</v>
      </c>
      <c r="R205" s="48">
        <f t="shared" si="60"/>
        <v>0</v>
      </c>
      <c r="S205" s="48">
        <f t="shared" si="61"/>
        <v>0</v>
      </c>
      <c r="T205" s="72">
        <f>IF(E203="Freilos",3,IF(F205&gt;G205,3,0))</f>
        <v>0</v>
      </c>
      <c r="U205" s="72">
        <f t="shared" si="62"/>
        <v>0</v>
      </c>
      <c r="V205" s="60">
        <f>IF(Spielereingabe!F82="","",74)</f>
      </c>
      <c r="W205" s="61">
        <f>IF(SP128!V205="","",Spielereingabe!F82)</f>
      </c>
      <c r="X205" s="61">
        <f>IF(SP128!V205="","",Spielereingabe!G82)</f>
      </c>
      <c r="Y205" s="61">
        <f>IF(SP128!V205="","",Spielereingabe!H82)</f>
      </c>
      <c r="Z205" s="61">
        <f>IF(SP128!V205="","",Spielereingabe!I82)</f>
      </c>
      <c r="AA205" s="62">
        <f>IF(SP128!V205="","",SP128!X76)</f>
      </c>
      <c r="AB205" s="62">
        <f>IF(SP128!V205="","",SP128!Z76)</f>
      </c>
      <c r="AC205" s="62">
        <f>IF(SP128!V205="","",SP128!AA76)</f>
      </c>
      <c r="AD205" s="62">
        <f>IF(SP128!V205="","",SP128!AC76)</f>
      </c>
      <c r="AE205" s="62">
        <f>IF(SP128!V205="","",SP128!AD76)</f>
      </c>
      <c r="AF205" s="235">
        <f>IF(SP128!V205="","",SP128!AE76)</f>
      </c>
      <c r="AG205" s="238"/>
      <c r="AH205" s="239"/>
    </row>
    <row r="206" spans="3:34" ht="10.5" thickBot="1">
      <c r="C206" s="148">
        <v>204</v>
      </c>
      <c r="D206" s="153" t="str">
        <f>IF(D174="Sieger 151","Sieger 172",IF(E174="Sieger 152","Sieger 172",IF(D174=E174,"Freilos",IF(E174="Freilos",D174,IF(D174="Freilos",E174,IF(F174&gt;G174,D174,IF(G174&gt;F174,E174,"Sieger 172")))))))</f>
        <v>Sieger 172</v>
      </c>
      <c r="E206" s="97" t="str">
        <f>IF(D188="Sieger 115","Verlierer 186",IF(E188="Sieger 116","Verlierer 186",IF(D188=E188,"Freilos",IF(E188="Freilos",E188,IF(D188="Freilos",D188,IF(F188&gt;G188,E188,IF(G188&gt;F188,D188,"Verlierer 186")))))))</f>
        <v>Verlierer 186</v>
      </c>
      <c r="F206" s="128"/>
      <c r="G206" s="99"/>
      <c r="H206" s="154"/>
      <c r="I206" s="154"/>
      <c r="J206" s="154"/>
      <c r="K206" s="155"/>
      <c r="L206" s="71"/>
      <c r="M206" s="95">
        <f t="shared" si="56"/>
      </c>
      <c r="N206" s="48">
        <f t="shared" si="57"/>
        <v>0</v>
      </c>
      <c r="O206" s="48">
        <f t="shared" si="58"/>
        <v>0</v>
      </c>
      <c r="P206" s="48">
        <f t="shared" si="59"/>
        <v>0</v>
      </c>
      <c r="Q206" s="48">
        <f t="shared" si="63"/>
        <v>0</v>
      </c>
      <c r="R206" s="48">
        <f t="shared" si="60"/>
        <v>0</v>
      </c>
      <c r="S206" s="48">
        <f t="shared" si="61"/>
        <v>0</v>
      </c>
      <c r="T206" s="72">
        <f>IF(E204="Freilos",3,IF(F206&gt;G206,3,0))</f>
        <v>0</v>
      </c>
      <c r="U206" s="72">
        <f t="shared" si="62"/>
        <v>0</v>
      </c>
      <c r="V206" s="60">
        <f>IF(Spielereingabe!F83="","",75)</f>
      </c>
      <c r="W206" s="61">
        <f>IF(SP128!V206="","",Spielereingabe!F83)</f>
      </c>
      <c r="X206" s="61">
        <f>IF(SP128!V206="","",Spielereingabe!G83)</f>
      </c>
      <c r="Y206" s="61">
        <f>IF(SP128!V206="","",Spielereingabe!H83)</f>
      </c>
      <c r="Z206" s="61">
        <f>IF(SP128!V206="","",Spielereingabe!I83)</f>
      </c>
      <c r="AA206" s="62">
        <f>IF(SP128!V206="","",SP128!X77)</f>
      </c>
      <c r="AB206" s="62">
        <f>IF(SP128!V206="","",SP128!Z77)</f>
      </c>
      <c r="AC206" s="62">
        <f>IF(SP128!V206="","",SP128!AA77)</f>
      </c>
      <c r="AD206" s="62">
        <f>IF(SP128!V206="","",SP128!AC77)</f>
      </c>
      <c r="AE206" s="62">
        <f>IF(SP128!V206="","",SP128!AD77)</f>
      </c>
      <c r="AF206" s="235">
        <f>IF(SP128!V206="","",SP128!AE77)</f>
      </c>
      <c r="AG206" s="238"/>
      <c r="AH206" s="239"/>
    </row>
    <row r="207" spans="3:34" ht="10.5" thickBot="1">
      <c r="C207" s="148">
        <v>205</v>
      </c>
      <c r="D207" s="153" t="str">
        <f>IF(D175="Sieger 153","Sieger 173",IF(E175="Sieger 154","Sieger 173",IF(D175=E175,"Freilos",IF(E175="Freilos",D175,IF(D175="Freilos",E175,IF(F175&gt;G175,D175,IF(G175&gt;F175,E175,"Sieger 173")))))))</f>
        <v>Sieger 173</v>
      </c>
      <c r="E207" s="97" t="str">
        <f>IF(D193="Sieger 125","Verlierer 191",IF(E193="Sieger 126","Verlierer 191",IF(D193=E193,"Freilos",IF(E193="Freilos",E193,IF(D193="Freilos",D193,IF(F193&gt;G193,E193,IF(G193&gt;F193,D193,"Verlierer 191")))))))</f>
        <v>Verlierer 191</v>
      </c>
      <c r="F207" s="128"/>
      <c r="G207" s="99"/>
      <c r="H207" s="154"/>
      <c r="I207" s="154"/>
      <c r="J207" s="154"/>
      <c r="K207" s="155"/>
      <c r="L207" s="71"/>
      <c r="M207" s="95">
        <f t="shared" si="56"/>
      </c>
      <c r="N207" s="48">
        <f t="shared" si="57"/>
        <v>0</v>
      </c>
      <c r="O207" s="48">
        <f t="shared" si="58"/>
        <v>0</v>
      </c>
      <c r="P207" s="48">
        <f t="shared" si="59"/>
        <v>0</v>
      </c>
      <c r="Q207" s="48">
        <f t="shared" si="63"/>
        <v>0</v>
      </c>
      <c r="R207" s="48">
        <f t="shared" si="60"/>
        <v>0</v>
      </c>
      <c r="S207" s="48">
        <f t="shared" si="61"/>
        <v>0</v>
      </c>
      <c r="T207" s="72">
        <f>IF(E209="Freilos",3,IF(F207&gt;G207,3,0))</f>
        <v>0</v>
      </c>
      <c r="U207" s="72">
        <f t="shared" si="62"/>
        <v>0</v>
      </c>
      <c r="V207" s="60">
        <f>IF(Spielereingabe!F84="","",76)</f>
      </c>
      <c r="W207" s="61">
        <f>IF(SP128!V207="","",Spielereingabe!F84)</f>
      </c>
      <c r="X207" s="61">
        <f>IF(SP128!V207="","",Spielereingabe!G84)</f>
      </c>
      <c r="Y207" s="61">
        <f>IF(SP128!V207="","",Spielereingabe!H84)</f>
      </c>
      <c r="Z207" s="61">
        <f>IF(SP128!V207="","",Spielereingabe!I84)</f>
      </c>
      <c r="AA207" s="62">
        <f>IF(SP128!V207="","",SP128!X78)</f>
      </c>
      <c r="AB207" s="62">
        <f>IF(SP128!V207="","",SP128!Z78)</f>
      </c>
      <c r="AC207" s="62">
        <f>IF(SP128!V207="","",SP128!AA78)</f>
      </c>
      <c r="AD207" s="62">
        <f>IF(SP128!V207="","",SP128!AC78)</f>
      </c>
      <c r="AE207" s="62">
        <f>IF(SP128!V207="","",SP128!AD78)</f>
      </c>
      <c r="AF207" s="235">
        <f>IF(SP128!V207="","",SP128!AE78)</f>
      </c>
      <c r="AG207" s="238"/>
      <c r="AH207" s="239"/>
    </row>
    <row r="208" spans="3:34" ht="10.5" thickBot="1">
      <c r="C208" s="148">
        <v>206</v>
      </c>
      <c r="D208" s="153" t="str">
        <f>IF(D176="Sieger 155","Sieger 174",IF(E176="Sieger 156","Sieger 174",IF(D176=E176,"Freilos",IF(E176="Freilos",D176,IF(D176="Freilos",E176,IF(F176&gt;G176,D176,IF(G176&gt;F176,E176,"Sieger 174")))))))</f>
        <v>Sieger 174</v>
      </c>
      <c r="E208" s="97" t="str">
        <f>IF(D194="Sieger 127","Verlierer 192",IF(E194="Sieger 128","Verlierer 192",IF(D194=E194,"Freilos",IF(E194="Freilos",E194,IF(D194="Freilos",D194,IF(F194&gt;G194,E194,IF(G194&gt;F194,D194,"Verlierer 192")))))))</f>
        <v>Verlierer 192</v>
      </c>
      <c r="F208" s="128"/>
      <c r="G208" s="99"/>
      <c r="H208" s="154"/>
      <c r="I208" s="154"/>
      <c r="J208" s="154"/>
      <c r="K208" s="155"/>
      <c r="L208" s="71"/>
      <c r="M208" s="95">
        <f t="shared" si="56"/>
      </c>
      <c r="N208" s="48">
        <f t="shared" si="57"/>
        <v>0</v>
      </c>
      <c r="O208" s="48">
        <f t="shared" si="58"/>
        <v>0</v>
      </c>
      <c r="P208" s="48">
        <f t="shared" si="59"/>
        <v>0</v>
      </c>
      <c r="Q208" s="48">
        <f t="shared" si="63"/>
        <v>0</v>
      </c>
      <c r="R208" s="48">
        <f t="shared" si="60"/>
        <v>0</v>
      </c>
      <c r="S208" s="48">
        <f t="shared" si="61"/>
        <v>0</v>
      </c>
      <c r="T208" s="72">
        <f>IF(E210="Freilos",3,IF(F208&gt;G208,3,0))</f>
        <v>0</v>
      </c>
      <c r="U208" s="72">
        <f t="shared" si="62"/>
        <v>0</v>
      </c>
      <c r="V208" s="60">
        <f>IF(Spielereingabe!F85="","",77)</f>
      </c>
      <c r="W208" s="61">
        <f>IF(SP128!V208="","",Spielereingabe!F85)</f>
      </c>
      <c r="X208" s="61">
        <f>IF(SP128!V208="","",Spielereingabe!G85)</f>
      </c>
      <c r="Y208" s="61">
        <f>IF(SP128!V208="","",Spielereingabe!H85)</f>
      </c>
      <c r="Z208" s="61">
        <f>IF(SP128!V208="","",Spielereingabe!I85)</f>
      </c>
      <c r="AA208" s="62">
        <f>IF(SP128!V208="","",SP128!X79)</f>
      </c>
      <c r="AB208" s="62">
        <f>IF(SP128!V208="","",SP128!Z79)</f>
      </c>
      <c r="AC208" s="62">
        <f>IF(SP128!V208="","",SP128!AA79)</f>
      </c>
      <c r="AD208" s="62">
        <f>IF(SP128!V208="","",SP128!AC79)</f>
      </c>
      <c r="AE208" s="62">
        <f>IF(SP128!V208="","",SP128!AD79)</f>
      </c>
      <c r="AF208" s="235">
        <f>IF(SP128!V208="","",SP128!AE79)</f>
      </c>
      <c r="AG208" s="238"/>
      <c r="AH208" s="239"/>
    </row>
    <row r="209" spans="3:34" ht="10.5" thickBot="1">
      <c r="C209" s="148">
        <v>207</v>
      </c>
      <c r="D209" s="153" t="str">
        <f>IF(D177="Sieger 157","Sieger 175",IF(E177="Sieger 158","Sieger 175",IF(D177=E177,"Freilos",IF(E177="Freilos",D177,IF(D177="Freilos",E177,IF(F177&gt;G177,D177,IF(G177&gt;F177,E177,"Sieger 175")))))))</f>
        <v>Sieger 175</v>
      </c>
      <c r="E209" s="97" t="str">
        <f>IF(D191="Sieger 121","Verlierer 189",IF(E191="Sieger 122","Verlierer 189",IF(D191=E191,"Freilos",IF(E191="Freilos",E191,IF(D191="Freilos",D191,IF(F191&gt;G191,E191,IF(G191&gt;F191,D191,"Verlierer 189")))))))</f>
        <v>Verlierer 189</v>
      </c>
      <c r="F209" s="128"/>
      <c r="G209" s="99"/>
      <c r="H209" s="154"/>
      <c r="I209" s="154"/>
      <c r="J209" s="154"/>
      <c r="K209" s="155"/>
      <c r="L209" s="71"/>
      <c r="M209" s="95">
        <f t="shared" si="56"/>
      </c>
      <c r="N209" s="48">
        <f t="shared" si="57"/>
        <v>0</v>
      </c>
      <c r="O209" s="48">
        <f t="shared" si="58"/>
        <v>0</v>
      </c>
      <c r="P209" s="48">
        <f t="shared" si="59"/>
        <v>0</v>
      </c>
      <c r="Q209" s="48">
        <f t="shared" si="63"/>
        <v>0</v>
      </c>
      <c r="R209" s="48">
        <f t="shared" si="60"/>
        <v>0</v>
      </c>
      <c r="S209" s="48">
        <f t="shared" si="61"/>
        <v>0</v>
      </c>
      <c r="T209" s="72">
        <f>IF(E207="Freilos",3,IF(F209&gt;G209,3,0))</f>
        <v>0</v>
      </c>
      <c r="U209" s="72">
        <f t="shared" si="62"/>
        <v>0</v>
      </c>
      <c r="V209" s="60">
        <f>IF(Spielereingabe!F86="","",78)</f>
      </c>
      <c r="W209" s="61">
        <f>IF(SP128!V209="","",Spielereingabe!F86)</f>
      </c>
      <c r="X209" s="61">
        <f>IF(SP128!V209="","",Spielereingabe!G86)</f>
      </c>
      <c r="Y209" s="61">
        <f>IF(SP128!V209="","",Spielereingabe!H86)</f>
      </c>
      <c r="Z209" s="61">
        <f>IF(SP128!V209="","",Spielereingabe!I86)</f>
      </c>
      <c r="AA209" s="62">
        <f>IF(SP128!V209="","",SP128!X80)</f>
      </c>
      <c r="AB209" s="62">
        <f>IF(SP128!V209="","",SP128!Z80)</f>
      </c>
      <c r="AC209" s="62">
        <f>IF(SP128!V209="","",SP128!AA80)</f>
      </c>
      <c r="AD209" s="62">
        <f>IF(SP128!V209="","",SP128!AC80)</f>
      </c>
      <c r="AE209" s="62">
        <f>IF(SP128!V209="","",SP128!AD80)</f>
      </c>
      <c r="AF209" s="235">
        <f>IF(SP128!V209="","",SP128!AE80)</f>
      </c>
      <c r="AG209" s="238"/>
      <c r="AH209" s="239"/>
    </row>
    <row r="210" spans="3:34" ht="10.5" thickBot="1">
      <c r="C210" s="148">
        <v>208</v>
      </c>
      <c r="D210" s="156" t="str">
        <f>IF(D178="Sieger 159","Sieger 176",IF(E178="Sieger 160","Sieger 176",IF(D178=E178,"Freilos",IF(E178="Freilos",D178,IF(D178="Freilos",E178,IF(F178&gt;G178,D178,IF(G178&gt;F178,E178,"Sieger 176")))))))</f>
        <v>Sieger 176</v>
      </c>
      <c r="E210" s="103" t="str">
        <f>IF(D192="Sieger 123","Verlierer 190",IF(E192="Sieger 124","Verlierer 190",IF(D192=E192,"Freilos",IF(E192="Freilos",E192,IF(D192="Freilos",D192,IF(F192&gt;G192,E192,IF(G192&gt;F192,D192,"Verlierer 190")))))))</f>
        <v>Verlierer 190</v>
      </c>
      <c r="F210" s="132"/>
      <c r="G210" s="105"/>
      <c r="H210" s="157"/>
      <c r="I210" s="157"/>
      <c r="J210" s="157"/>
      <c r="K210" s="158"/>
      <c r="L210" s="71"/>
      <c r="M210" s="95">
        <f t="shared" si="56"/>
      </c>
      <c r="N210" s="48">
        <f t="shared" si="57"/>
        <v>0</v>
      </c>
      <c r="O210" s="48">
        <f t="shared" si="58"/>
        <v>0</v>
      </c>
      <c r="P210" s="48">
        <f t="shared" si="59"/>
        <v>0</v>
      </c>
      <c r="Q210" s="48">
        <f t="shared" si="63"/>
        <v>0</v>
      </c>
      <c r="R210" s="48">
        <f t="shared" si="60"/>
        <v>0</v>
      </c>
      <c r="S210" s="48">
        <f t="shared" si="61"/>
        <v>0</v>
      </c>
      <c r="T210" s="72">
        <f>IF(E208="Freilos",3,IF(F210&gt;G210,3,0))</f>
        <v>0</v>
      </c>
      <c r="U210" s="72">
        <f t="shared" si="62"/>
        <v>0</v>
      </c>
      <c r="V210" s="60">
        <f>IF(Spielereingabe!F87="","",79)</f>
      </c>
      <c r="W210" s="61">
        <f>IF(SP128!V210="","",Spielereingabe!F87)</f>
      </c>
      <c r="X210" s="61">
        <f>IF(SP128!V210="","",Spielereingabe!G87)</f>
      </c>
      <c r="Y210" s="61">
        <f>IF(SP128!V210="","",Spielereingabe!H87)</f>
      </c>
      <c r="Z210" s="61">
        <f>IF(SP128!V210="","",Spielereingabe!I87)</f>
      </c>
      <c r="AA210" s="62">
        <f>IF(SP128!V210="","",SP128!X81)</f>
      </c>
      <c r="AB210" s="62">
        <f>IF(SP128!V210="","",SP128!Z81)</f>
      </c>
      <c r="AC210" s="62">
        <f>IF(SP128!V210="","",SP128!AA81)</f>
      </c>
      <c r="AD210" s="62">
        <f>IF(SP128!V210="","",SP128!AC81)</f>
      </c>
      <c r="AE210" s="62">
        <f>IF(SP128!V210="","",SP128!AD81)</f>
      </c>
      <c r="AF210" s="235">
        <f>IF(SP128!V210="","",SP128!AE81)</f>
      </c>
      <c r="AG210" s="238"/>
      <c r="AH210" s="239"/>
    </row>
    <row r="211" spans="2:34" ht="10.5" thickBot="1">
      <c r="B211" s="88" t="s">
        <v>31</v>
      </c>
      <c r="C211" s="148">
        <v>209</v>
      </c>
      <c r="D211" s="159" t="str">
        <f>IF(D195="Sieger 161","Sieger 193",IF(E195="Verlierer 179","Sieger 193",IF(D195=E195,"Freilos",IF(E195="Freilos",D195,IF(D195="Freilos",E195,IF(F195&gt;G195,D195,IF(G195&gt;F195,E195,"Sieger 193")))))))</f>
        <v>Sieger 193</v>
      </c>
      <c r="E211" s="160" t="str">
        <f>IF(D196="Sieger 162","Sieger 194",IF(E196="Verlierer 180","Sieger 194",IF(D196=E196,"Freilos",IF(E196="Freilos",D196,IF(D196="Freilos",E196,IF(F196&gt;G196,D196,IF(G196&gt;F196,E196,"Sieger 194")))))))</f>
        <v>Sieger 194</v>
      </c>
      <c r="F211" s="91"/>
      <c r="G211" s="161"/>
      <c r="H211" s="162"/>
      <c r="I211" s="162"/>
      <c r="J211" s="162"/>
      <c r="K211" s="163"/>
      <c r="L211" s="71"/>
      <c r="M211" s="95">
        <f t="shared" si="56"/>
      </c>
      <c r="N211" s="48">
        <f t="shared" si="57"/>
        <v>0</v>
      </c>
      <c r="O211" s="48">
        <f t="shared" si="58"/>
        <v>0</v>
      </c>
      <c r="P211" s="48">
        <f t="shared" si="59"/>
        <v>0</v>
      </c>
      <c r="Q211" s="48">
        <f t="shared" si="63"/>
        <v>0</v>
      </c>
      <c r="R211" s="48">
        <f t="shared" si="60"/>
        <v>0</v>
      </c>
      <c r="S211" s="48">
        <f t="shared" si="61"/>
        <v>0</v>
      </c>
      <c r="T211" s="72">
        <f aca="true" t="shared" si="64" ref="T211:T218">IF(E211="Freilos",3,IF(F211&gt;G211,3,0))</f>
        <v>0</v>
      </c>
      <c r="U211" s="72">
        <f t="shared" si="62"/>
        <v>0</v>
      </c>
      <c r="V211" s="60">
        <f>IF(Spielereingabe!F88="","",80)</f>
      </c>
      <c r="W211" s="61">
        <f>IF(SP128!V211="","",Spielereingabe!F88)</f>
      </c>
      <c r="X211" s="61">
        <f>IF(SP128!V211="","",Spielereingabe!G88)</f>
      </c>
      <c r="Y211" s="61">
        <f>IF(SP128!V211="","",Spielereingabe!H88)</f>
      </c>
      <c r="Z211" s="61">
        <f>IF(SP128!V211="","",Spielereingabe!I88)</f>
      </c>
      <c r="AA211" s="62">
        <f>IF(SP128!V211="","",SP128!X82)</f>
      </c>
      <c r="AB211" s="62">
        <f>IF(SP128!V211="","",SP128!Z82)</f>
      </c>
      <c r="AC211" s="62">
        <f>IF(SP128!V211="","",SP128!AA82)</f>
      </c>
      <c r="AD211" s="62">
        <f>IF(SP128!V211="","",SP128!AC82)</f>
      </c>
      <c r="AE211" s="62">
        <f>IF(SP128!V211="","",SP128!AD82)</f>
      </c>
      <c r="AF211" s="235">
        <f>IF(SP128!V211="","",SP128!AE82)</f>
      </c>
      <c r="AG211" s="238"/>
      <c r="AH211" s="239"/>
    </row>
    <row r="212" spans="3:34" ht="10.5" thickBot="1">
      <c r="C212" s="148">
        <v>210</v>
      </c>
      <c r="D212" s="159" t="str">
        <f>IF(D197="Sieger 163","Sieger 195",IF(E197="Verlierer 177","Sieger 195",IF(D197=E197,"Freilos",IF(E197="Freilos",D197,IF(D197="Freilos",E197,IF(F197&gt;G197,D197,IF(G197&gt;F197,E197,"Sieger 195")))))))</f>
        <v>Sieger 195</v>
      </c>
      <c r="E212" s="160" t="str">
        <f>IF(D198="Sieger 164","Sieger 196",IF(E198="Verlierer 178","Sieger 196",IF(D198=E198,"Freilos",IF(E198="Freilos",D198,IF(D198="Freilos",E198,IF(F198&gt;G198,D198,IF(G198&gt;F198,E198,"Sieger 196")))))))</f>
        <v>Sieger 196</v>
      </c>
      <c r="F212" s="98"/>
      <c r="G212" s="164"/>
      <c r="H212" s="154"/>
      <c r="I212" s="154"/>
      <c r="J212" s="154"/>
      <c r="K212" s="155"/>
      <c r="L212" s="71"/>
      <c r="M212" s="95">
        <f t="shared" si="56"/>
      </c>
      <c r="N212" s="48">
        <f t="shared" si="57"/>
        <v>0</v>
      </c>
      <c r="O212" s="48">
        <f t="shared" si="58"/>
        <v>0</v>
      </c>
      <c r="P212" s="48">
        <f t="shared" si="59"/>
        <v>0</v>
      </c>
      <c r="Q212" s="48">
        <f t="shared" si="63"/>
        <v>0</v>
      </c>
      <c r="R212" s="48">
        <f t="shared" si="60"/>
        <v>0</v>
      </c>
      <c r="S212" s="48">
        <f t="shared" si="61"/>
        <v>0</v>
      </c>
      <c r="T212" s="72">
        <f t="shared" si="64"/>
        <v>0</v>
      </c>
      <c r="U212" s="72">
        <f t="shared" si="62"/>
        <v>0</v>
      </c>
      <c r="V212" s="60">
        <f>IF(Spielereingabe!F89="","",81)</f>
      </c>
      <c r="W212" s="61">
        <f>IF(SP128!V212="","",Spielereingabe!F89)</f>
      </c>
      <c r="X212" s="61">
        <f>IF(SP128!V212="","",Spielereingabe!G89)</f>
      </c>
      <c r="Y212" s="61">
        <f>IF(SP128!V212="","",Spielereingabe!H89)</f>
      </c>
      <c r="Z212" s="61">
        <f>IF(SP128!V212="","",Spielereingabe!I89)</f>
      </c>
      <c r="AA212" s="62">
        <f>IF(SP128!V212="","",SP128!X83)</f>
      </c>
      <c r="AB212" s="62">
        <f>IF(SP128!V212="","",SP128!Z83)</f>
      </c>
      <c r="AC212" s="62">
        <f>IF(SP128!V212="","",SP128!AA83)</f>
      </c>
      <c r="AD212" s="62">
        <f>IF(SP128!V212="","",SP128!AC83)</f>
      </c>
      <c r="AE212" s="62">
        <f>IF(SP128!V212="","",SP128!AD83)</f>
      </c>
      <c r="AF212" s="235">
        <f>IF(SP128!V212="","",SP128!AE83)</f>
      </c>
      <c r="AG212" s="238"/>
      <c r="AH212" s="239"/>
    </row>
    <row r="213" spans="3:34" ht="10.5" thickBot="1">
      <c r="C213" s="148">
        <v>211</v>
      </c>
      <c r="D213" s="159" t="str">
        <f>IF(D199="Sieger 165","Sieger 197",IF(E199="Verlierer 183","Sieger 197",IF(D199=E199,"Freilos",IF(E199="Freilos",D199,IF(D199="Freilos",E199,IF(F199&gt;G199,D199,IF(G199&gt;F199,E199,"Sieger 197")))))))</f>
        <v>Sieger 197</v>
      </c>
      <c r="E213" s="160" t="str">
        <f>IF(D200="Sieger 166","Sieger 198",IF(E200="Verlierer 184","Sieger 198",IF(D200=E200,"Freilos",IF(E200="Freilos",D200,IF(D200="Freilos",E200,IF(F200&gt;G200,D200,IF(G200&gt;F200,E200,"Sieger 198")))))))</f>
        <v>Sieger 198</v>
      </c>
      <c r="F213" s="98"/>
      <c r="G213" s="164"/>
      <c r="H213" s="154"/>
      <c r="I213" s="154"/>
      <c r="J213" s="154"/>
      <c r="K213" s="155"/>
      <c r="L213" s="71"/>
      <c r="M213" s="95">
        <f t="shared" si="56"/>
      </c>
      <c r="N213" s="48">
        <f t="shared" si="57"/>
        <v>0</v>
      </c>
      <c r="O213" s="48">
        <f t="shared" si="58"/>
        <v>0</v>
      </c>
      <c r="P213" s="48">
        <f t="shared" si="59"/>
        <v>0</v>
      </c>
      <c r="Q213" s="48">
        <f t="shared" si="63"/>
        <v>0</v>
      </c>
      <c r="R213" s="48">
        <f t="shared" si="60"/>
        <v>0</v>
      </c>
      <c r="S213" s="48">
        <f t="shared" si="61"/>
        <v>0</v>
      </c>
      <c r="T213" s="72">
        <f t="shared" si="64"/>
        <v>0</v>
      </c>
      <c r="U213" s="72">
        <f t="shared" si="62"/>
        <v>0</v>
      </c>
      <c r="V213" s="60">
        <f>IF(Spielereingabe!F90="","",82)</f>
      </c>
      <c r="W213" s="61">
        <f>IF(SP128!V213="","",Spielereingabe!F90)</f>
      </c>
      <c r="X213" s="61">
        <f>IF(SP128!V213="","",Spielereingabe!G90)</f>
      </c>
      <c r="Y213" s="61">
        <f>IF(SP128!V213="","",Spielereingabe!H90)</f>
      </c>
      <c r="Z213" s="61">
        <f>IF(SP128!V213="","",Spielereingabe!I90)</f>
      </c>
      <c r="AA213" s="62">
        <f>IF(SP128!V213="","",SP128!X84)</f>
      </c>
      <c r="AB213" s="62">
        <f>IF(SP128!V213="","",SP128!Z84)</f>
      </c>
      <c r="AC213" s="62">
        <f>IF(SP128!V213="","",SP128!AA84)</f>
      </c>
      <c r="AD213" s="62">
        <f>IF(SP128!V213="","",SP128!AC84)</f>
      </c>
      <c r="AE213" s="62">
        <f>IF(SP128!V213="","",SP128!AD84)</f>
      </c>
      <c r="AF213" s="235">
        <f>IF(SP128!V213="","",SP128!AE84)</f>
      </c>
      <c r="AG213" s="238"/>
      <c r="AH213" s="239"/>
    </row>
    <row r="214" spans="3:34" ht="10.5" thickBot="1">
      <c r="C214" s="148">
        <v>212</v>
      </c>
      <c r="D214" s="159" t="str">
        <f>IF(D201="Sieger 167","Sieger 199",IF(E201="Verlierer 181","Sieger 199",IF(D201=E201,"Freilos",IF(E201="Freilos",D201,IF(D201="Freilos",E201,IF(F201&gt;G201,D201,IF(G201&gt;F201,E201,"Sieger 199")))))))</f>
        <v>Sieger 199</v>
      </c>
      <c r="E214" s="160" t="str">
        <f>IF(D202="Sieger 168","Sieger 200",IF(E202="Verlierer 182","Sieger 200",IF(D202=E202,"Freilos",IF(E202="Freilos",D202,IF(D202="Freilos",E202,IF(F202&gt;G202,D202,IF(G202&gt;F202,E202,"Sieger 200")))))))</f>
        <v>Sieger 200</v>
      </c>
      <c r="F214" s="98"/>
      <c r="G214" s="164"/>
      <c r="H214" s="154"/>
      <c r="I214" s="154"/>
      <c r="J214" s="154"/>
      <c r="K214" s="155"/>
      <c r="L214" s="71"/>
      <c r="M214" s="95">
        <f t="shared" si="56"/>
      </c>
      <c r="N214" s="48">
        <f t="shared" si="57"/>
        <v>0</v>
      </c>
      <c r="O214" s="48">
        <f t="shared" si="58"/>
        <v>0</v>
      </c>
      <c r="P214" s="48">
        <f t="shared" si="59"/>
        <v>0</v>
      </c>
      <c r="Q214" s="48">
        <f t="shared" si="63"/>
        <v>0</v>
      </c>
      <c r="R214" s="48">
        <f t="shared" si="60"/>
        <v>0</v>
      </c>
      <c r="S214" s="48">
        <f t="shared" si="61"/>
        <v>0</v>
      </c>
      <c r="T214" s="72">
        <f t="shared" si="64"/>
        <v>0</v>
      </c>
      <c r="U214" s="72">
        <f t="shared" si="62"/>
        <v>0</v>
      </c>
      <c r="V214" s="60">
        <f>IF(Spielereingabe!F91="","",83)</f>
      </c>
      <c r="W214" s="61">
        <f>IF(SP128!V214="","",Spielereingabe!F91)</f>
      </c>
      <c r="X214" s="61">
        <f>IF(SP128!V214="","",Spielereingabe!G91)</f>
      </c>
      <c r="Y214" s="61">
        <f>IF(SP128!V214="","",Spielereingabe!H91)</f>
      </c>
      <c r="Z214" s="61">
        <f>IF(SP128!V214="","",Spielereingabe!I91)</f>
      </c>
      <c r="AA214" s="62">
        <f>IF(SP128!V214="","",SP128!X85)</f>
      </c>
      <c r="AB214" s="62">
        <f>IF(SP128!V214="","",SP128!Z85)</f>
      </c>
      <c r="AC214" s="62">
        <f>IF(SP128!V214="","",SP128!AA85)</f>
      </c>
      <c r="AD214" s="62">
        <f>IF(SP128!V214="","",SP128!AC85)</f>
      </c>
      <c r="AE214" s="62">
        <f>IF(SP128!V214="","",SP128!AD85)</f>
      </c>
      <c r="AF214" s="235">
        <f>IF(SP128!V214="","",SP128!AE85)</f>
      </c>
      <c r="AG214" s="238"/>
      <c r="AH214" s="239"/>
    </row>
    <row r="215" spans="3:34" ht="10.5" thickBot="1">
      <c r="C215" s="148">
        <v>213</v>
      </c>
      <c r="D215" s="159" t="str">
        <f>IF(D203="Sieger 169","Sieger 201",IF(E203="Verlierer 187","Sieger 201",IF(D203=E203,"Freilos",IF(E203="Freilos",D203,IF(D203="Freilos",E203,IF(F203&gt;G203,D203,IF(G203&gt;F203,E203,"Sieger 201")))))))</f>
        <v>Sieger 201</v>
      </c>
      <c r="E215" s="160" t="str">
        <f>IF(D204="Sieger 170","Sieger 202",IF(E204="Verlierer 188","Sieger 202",IF(D204=E204,"Freilos",IF(E204="Freilos",D204,IF(D204="Freilos",E204,IF(F204&gt;G204,D204,IF(G204&gt;F204,E204,"Sieger 202")))))))</f>
        <v>Sieger 202</v>
      </c>
      <c r="F215" s="98"/>
      <c r="G215" s="164"/>
      <c r="H215" s="154"/>
      <c r="I215" s="154"/>
      <c r="J215" s="154"/>
      <c r="K215" s="155"/>
      <c r="L215" s="71"/>
      <c r="M215" s="95">
        <f t="shared" si="56"/>
      </c>
      <c r="N215" s="48">
        <f t="shared" si="57"/>
        <v>0</v>
      </c>
      <c r="O215" s="48">
        <f t="shared" si="58"/>
        <v>0</v>
      </c>
      <c r="P215" s="48">
        <f t="shared" si="59"/>
        <v>0</v>
      </c>
      <c r="Q215" s="48">
        <f t="shared" si="63"/>
        <v>0</v>
      </c>
      <c r="R215" s="48">
        <f t="shared" si="60"/>
        <v>0</v>
      </c>
      <c r="S215" s="48">
        <f t="shared" si="61"/>
        <v>0</v>
      </c>
      <c r="T215" s="72">
        <f t="shared" si="64"/>
        <v>0</v>
      </c>
      <c r="U215" s="72">
        <f t="shared" si="62"/>
        <v>0</v>
      </c>
      <c r="V215" s="60">
        <f>IF(Spielereingabe!F92="","",84)</f>
      </c>
      <c r="W215" s="61">
        <f>IF(SP128!V215="","",Spielereingabe!F92)</f>
      </c>
      <c r="X215" s="61">
        <f>IF(SP128!V215="","",Spielereingabe!G92)</f>
      </c>
      <c r="Y215" s="61">
        <f>IF(SP128!V215="","",Spielereingabe!H92)</f>
      </c>
      <c r="Z215" s="61">
        <f>IF(SP128!V215="","",Spielereingabe!I92)</f>
      </c>
      <c r="AA215" s="62">
        <f>IF(SP128!V215="","",SP128!X86)</f>
      </c>
      <c r="AB215" s="62">
        <f>IF(SP128!V215="","",SP128!Z86)</f>
      </c>
      <c r="AC215" s="62">
        <f>IF(SP128!V215="","",SP128!AA86)</f>
      </c>
      <c r="AD215" s="62">
        <f>IF(SP128!V215="","",SP128!AC86)</f>
      </c>
      <c r="AE215" s="62">
        <f>IF(SP128!V215="","",SP128!AD86)</f>
      </c>
      <c r="AF215" s="235">
        <f>IF(SP128!V215="","",SP128!AE86)</f>
      </c>
      <c r="AG215" s="238"/>
      <c r="AH215" s="239"/>
    </row>
    <row r="216" spans="3:34" ht="10.5" thickBot="1">
      <c r="C216" s="148">
        <v>214</v>
      </c>
      <c r="D216" s="159" t="str">
        <f>IF(D205="Sieger 171","Sieger 203",IF(E205="Verlierer 185","Sieger 203",IF(D205=E205,"Freilos",IF(E205="Freilos",D205,IF(D205="Freilos",E205,IF(F205&gt;G205,D205,IF(G205&gt;F205,E205,"Sieger 203")))))))</f>
        <v>Sieger 203</v>
      </c>
      <c r="E216" s="160" t="str">
        <f>IF(D206="Sieger 172","Sieger 204",IF(E206="Verlierer 186","Sieger 204",IF(D206=E206,"Freilos",IF(E206="Freilos",D206,IF(D206="Freilos",E206,IF(F206&gt;G206,D206,IF(G206&gt;F206,E206,"Sieger 204")))))))</f>
        <v>Sieger 204</v>
      </c>
      <c r="F216" s="98"/>
      <c r="G216" s="164"/>
      <c r="H216" s="154"/>
      <c r="I216" s="154"/>
      <c r="J216" s="154"/>
      <c r="K216" s="155"/>
      <c r="L216" s="71"/>
      <c r="M216" s="95">
        <f t="shared" si="56"/>
      </c>
      <c r="N216" s="48">
        <f t="shared" si="57"/>
        <v>0</v>
      </c>
      <c r="O216" s="48">
        <f t="shared" si="58"/>
        <v>0</v>
      </c>
      <c r="P216" s="48">
        <f t="shared" si="59"/>
        <v>0</v>
      </c>
      <c r="Q216" s="48">
        <f t="shared" si="63"/>
        <v>0</v>
      </c>
      <c r="R216" s="48">
        <f t="shared" si="60"/>
        <v>0</v>
      </c>
      <c r="S216" s="48">
        <f t="shared" si="61"/>
        <v>0</v>
      </c>
      <c r="T216" s="72">
        <f t="shared" si="64"/>
        <v>0</v>
      </c>
      <c r="U216" s="72">
        <f t="shared" si="62"/>
        <v>0</v>
      </c>
      <c r="V216" s="60">
        <f>IF(Spielereingabe!F93="","",85)</f>
      </c>
      <c r="W216" s="61">
        <f>IF(SP128!V216="","",Spielereingabe!F93)</f>
      </c>
      <c r="X216" s="61">
        <f>IF(SP128!V216="","",Spielereingabe!G93)</f>
      </c>
      <c r="Y216" s="61">
        <f>IF(SP128!V216="","",Spielereingabe!H93)</f>
      </c>
      <c r="Z216" s="61">
        <f>IF(SP128!V216="","",Spielereingabe!I93)</f>
      </c>
      <c r="AA216" s="62">
        <f>IF(SP128!V216="","",SP128!X87)</f>
      </c>
      <c r="AB216" s="62">
        <f>IF(SP128!V216="","",SP128!Z87)</f>
      </c>
      <c r="AC216" s="62">
        <f>IF(SP128!V216="","",SP128!AA87)</f>
      </c>
      <c r="AD216" s="62">
        <f>IF(SP128!V216="","",SP128!AC87)</f>
      </c>
      <c r="AE216" s="62">
        <f>IF(SP128!V216="","",SP128!AD87)</f>
      </c>
      <c r="AF216" s="235">
        <f>IF(SP128!V216="","",SP128!AE87)</f>
      </c>
      <c r="AG216" s="238"/>
      <c r="AH216" s="239"/>
    </row>
    <row r="217" spans="3:34" ht="10.5" thickBot="1">
      <c r="C217" s="148">
        <v>215</v>
      </c>
      <c r="D217" s="159" t="str">
        <f>IF(D207="Sieger 173","Sieger 205",IF(E207="Verlierer 191","Sieger 205",IF(D207=E207,"Freilos",IF(E207="Freilos",D207,IF(D207="Freilos",E207,IF(F207&gt;G207,D207,IF(G207&gt;F207,E207,"Sieger 205")))))))</f>
        <v>Sieger 205</v>
      </c>
      <c r="E217" s="160" t="str">
        <f>IF(D208="Sieger 174","Sieger 206",IF(E208="Verlierer 192","Sieger 206",IF(D208=E208,"Freilos",IF(E208="Freilos",D208,IF(D208="Freilos",E208,IF(F208&gt;G208,D208,IF(G208&gt;F208,E208,"Sieger 206")))))))</f>
        <v>Sieger 206</v>
      </c>
      <c r="F217" s="98"/>
      <c r="G217" s="164"/>
      <c r="H217" s="154"/>
      <c r="I217" s="154"/>
      <c r="J217" s="154"/>
      <c r="K217" s="155"/>
      <c r="L217" s="71"/>
      <c r="M217" s="95">
        <f t="shared" si="56"/>
      </c>
      <c r="N217" s="48">
        <f t="shared" si="57"/>
        <v>0</v>
      </c>
      <c r="O217" s="48">
        <f t="shared" si="58"/>
        <v>0</v>
      </c>
      <c r="P217" s="48">
        <f t="shared" si="59"/>
        <v>0</v>
      </c>
      <c r="Q217" s="48">
        <f t="shared" si="63"/>
        <v>0</v>
      </c>
      <c r="R217" s="48">
        <f t="shared" si="60"/>
        <v>0</v>
      </c>
      <c r="S217" s="48">
        <f t="shared" si="61"/>
        <v>0</v>
      </c>
      <c r="T217" s="72">
        <f t="shared" si="64"/>
        <v>0</v>
      </c>
      <c r="U217" s="72">
        <f t="shared" si="62"/>
        <v>0</v>
      </c>
      <c r="V217" s="60">
        <f>IF(Spielereingabe!F94="","",86)</f>
      </c>
      <c r="W217" s="61">
        <f>IF(SP128!V217="","",Spielereingabe!F94)</f>
      </c>
      <c r="X217" s="61">
        <f>IF(SP128!V217="","",Spielereingabe!G94)</f>
      </c>
      <c r="Y217" s="61">
        <f>IF(SP128!V217="","",Spielereingabe!H94)</f>
      </c>
      <c r="Z217" s="61">
        <f>IF(SP128!V217="","",Spielereingabe!I94)</f>
      </c>
      <c r="AA217" s="62">
        <f>IF(SP128!V217="","",SP128!X88)</f>
      </c>
      <c r="AB217" s="62">
        <f>IF(SP128!V217="","",SP128!Z88)</f>
      </c>
      <c r="AC217" s="62">
        <f>IF(SP128!V217="","",SP128!AA88)</f>
      </c>
      <c r="AD217" s="62">
        <f>IF(SP128!V217="","",SP128!AC88)</f>
      </c>
      <c r="AE217" s="62">
        <f>IF(SP128!V217="","",SP128!AD88)</f>
      </c>
      <c r="AF217" s="235">
        <f>IF(SP128!V217="","",SP128!AE88)</f>
      </c>
      <c r="AG217" s="238"/>
      <c r="AH217" s="239"/>
    </row>
    <row r="218" spans="3:34" ht="10.5" thickBot="1">
      <c r="C218" s="148">
        <v>216</v>
      </c>
      <c r="D218" s="159" t="str">
        <f>IF(D209="Sieger 175","Sieger 207",IF(E209="Verlierer 189","Sieger 207",IF(D209=E209,"Freilos",IF(E209="Freilos",D209,IF(D209="Freilos",E209,IF(F209&gt;G209,D209,IF(G209&gt;F209,E209,"Sieger 207")))))))</f>
        <v>Sieger 207</v>
      </c>
      <c r="E218" s="160" t="str">
        <f>IF(D210="Sieger 176","Sieger 208",IF(E210="Verlierer 190","Sieger 208",IF(D210=E210,"Freilos",IF(E210="Freilos",D210,IF(D210="Freilos",E210,IF(F210&gt;G210,D210,IF(G210&gt;F210,E210,"Sieger 208")))))))</f>
        <v>Sieger 208</v>
      </c>
      <c r="F218" s="104"/>
      <c r="G218" s="165"/>
      <c r="H218" s="157"/>
      <c r="I218" s="157"/>
      <c r="J218" s="157"/>
      <c r="K218" s="158"/>
      <c r="L218" s="71"/>
      <c r="M218" s="95">
        <f t="shared" si="56"/>
      </c>
      <c r="N218" s="48">
        <f t="shared" si="57"/>
        <v>0</v>
      </c>
      <c r="O218" s="48">
        <f t="shared" si="58"/>
        <v>0</v>
      </c>
      <c r="P218" s="48">
        <f t="shared" si="59"/>
        <v>0</v>
      </c>
      <c r="Q218" s="48">
        <f t="shared" si="63"/>
        <v>0</v>
      </c>
      <c r="R218" s="48">
        <f t="shared" si="60"/>
        <v>0</v>
      </c>
      <c r="S218" s="48">
        <f t="shared" si="61"/>
        <v>0</v>
      </c>
      <c r="T218" s="72">
        <f t="shared" si="64"/>
        <v>0</v>
      </c>
      <c r="U218" s="72">
        <f t="shared" si="62"/>
        <v>0</v>
      </c>
      <c r="V218" s="60">
        <f>IF(Spielereingabe!F95="","",87)</f>
      </c>
      <c r="W218" s="61">
        <f>IF(SP128!V218="","",Spielereingabe!F95)</f>
      </c>
      <c r="X218" s="61">
        <f>IF(SP128!V218="","",Spielereingabe!G95)</f>
      </c>
      <c r="Y218" s="61">
        <f>IF(SP128!V218="","",Spielereingabe!H95)</f>
      </c>
      <c r="Z218" s="61">
        <f>IF(SP128!V218="","",Spielereingabe!I95)</f>
      </c>
      <c r="AA218" s="62">
        <f>IF(SP128!V218="","",SP128!X89)</f>
      </c>
      <c r="AB218" s="62">
        <f>IF(SP128!V218="","",SP128!Z89)</f>
      </c>
      <c r="AC218" s="62">
        <f>IF(SP128!V218="","",SP128!AA89)</f>
      </c>
      <c r="AD218" s="62">
        <f>IF(SP128!V218="","",SP128!AC89)</f>
      </c>
      <c r="AE218" s="62">
        <f>IF(SP128!V218="","",SP128!AD89)</f>
      </c>
      <c r="AF218" s="235">
        <f>IF(SP128!V218="","",SP128!AE89)</f>
      </c>
      <c r="AG218" s="238"/>
      <c r="AH218" s="239"/>
    </row>
    <row r="219" spans="2:34" ht="10.5" thickBot="1">
      <c r="B219" s="108" t="s">
        <v>36</v>
      </c>
      <c r="C219" s="148">
        <v>217</v>
      </c>
      <c r="D219" s="166" t="str">
        <f>IF(D179="Sieger 97","Sieger 177",IF(E179="Sieger 98","Sieger 177",IF(D179=E179,"Freilos",IF(E179="Freilos",D179,IF(D179="Freilos",E179,IF(F179&gt;G179,D179,IF(G179&gt;F179,E179,"Sieger 177")))))))</f>
        <v>Sieger 177</v>
      </c>
      <c r="E219" s="167" t="str">
        <f>IF(D180="Sieger 99","Sieger 178",IF(E180="Sieger 100","Sieger 178",IF(D180=E180,"Freilos",IF(E180="Freilos",D180,IF(D180="Freilos",E180,IF(F180&gt;G180,D180,IF(G180&gt;F180,E180,"Sieger 178")))))))</f>
        <v>Sieger 178</v>
      </c>
      <c r="F219" s="139"/>
      <c r="G219" s="168"/>
      <c r="H219" s="140"/>
      <c r="I219" s="140"/>
      <c r="J219" s="140"/>
      <c r="K219" s="169"/>
      <c r="L219" s="71"/>
      <c r="M219" s="95"/>
      <c r="N219" s="48">
        <f t="shared" si="57"/>
        <v>0</v>
      </c>
      <c r="O219" s="48">
        <f t="shared" si="58"/>
        <v>0</v>
      </c>
      <c r="P219" s="48">
        <f t="shared" si="59"/>
        <v>0</v>
      </c>
      <c r="Q219" s="48">
        <f t="shared" si="63"/>
        <v>0</v>
      </c>
      <c r="R219" s="48">
        <f t="shared" si="60"/>
        <v>0</v>
      </c>
      <c r="S219" s="48">
        <f t="shared" si="61"/>
        <v>0</v>
      </c>
      <c r="T219" s="72">
        <f>IF(E219="Freilos",6,IF(F219&gt;G219,6,0))</f>
        <v>0</v>
      </c>
      <c r="U219" s="72">
        <f>IF(D219="Freilos",6,IF(G219&gt;F219,6,0))</f>
        <v>0</v>
      </c>
      <c r="V219" s="60">
        <f>IF(Spielereingabe!F96="","",88)</f>
      </c>
      <c r="W219" s="61">
        <f>IF(SP128!V219="","",Spielereingabe!F96)</f>
      </c>
      <c r="X219" s="61">
        <f>IF(SP128!V219="","",Spielereingabe!G96)</f>
      </c>
      <c r="Y219" s="61">
        <f>IF(SP128!V219="","",Spielereingabe!H96)</f>
      </c>
      <c r="Z219" s="61">
        <f>IF(SP128!V219="","",Spielereingabe!I96)</f>
      </c>
      <c r="AA219" s="62">
        <f>IF(SP128!V219="","",SP128!X90)</f>
      </c>
      <c r="AB219" s="62">
        <f>IF(SP128!V219="","",SP128!Z90)</f>
      </c>
      <c r="AC219" s="62">
        <f>IF(SP128!V219="","",SP128!AA90)</f>
      </c>
      <c r="AD219" s="62">
        <f>IF(SP128!V219="","",SP128!AC90)</f>
      </c>
      <c r="AE219" s="62">
        <f>IF(SP128!V219="","",SP128!AD90)</f>
      </c>
      <c r="AF219" s="235">
        <f>IF(SP128!V219="","",SP128!AE90)</f>
      </c>
      <c r="AG219" s="238"/>
      <c r="AH219" s="239"/>
    </row>
    <row r="220" spans="3:34" ht="10.5" thickBot="1">
      <c r="C220" s="148">
        <v>218</v>
      </c>
      <c r="D220" s="170" t="str">
        <f>IF(D181="Sieger 101","Sieger 179",IF(E181="Sieger 102","Sieger 179",IF(D181=E181,"Freilos",IF(E181="Freilos",D181,IF(D181="Freilos",E181,IF(F181&gt;G181,D181,IF(G181&gt;F181,E181,"Sieger 179")))))))</f>
        <v>Sieger 179</v>
      </c>
      <c r="E220" s="171" t="str">
        <f>IF(D182="Sieger 103","Sieger 180",IF(E182="Sieger 104","Sieger 180",IF(D182=E182,"Freilos",IF(E182="Freilos",D182,IF(D182="Freilos",E182,IF(F182&gt;G182,D182,IF(G182&gt;F182,E182,"Sieger 180")))))))</f>
        <v>Sieger 180</v>
      </c>
      <c r="F220" s="143"/>
      <c r="G220" s="172"/>
      <c r="H220" s="118"/>
      <c r="I220" s="118"/>
      <c r="J220" s="118"/>
      <c r="K220" s="173"/>
      <c r="L220" s="71"/>
      <c r="M220" s="95"/>
      <c r="N220" s="48">
        <f t="shared" si="57"/>
        <v>0</v>
      </c>
      <c r="O220" s="48">
        <f t="shared" si="58"/>
        <v>0</v>
      </c>
      <c r="P220" s="48">
        <f t="shared" si="59"/>
        <v>0</v>
      </c>
      <c r="Q220" s="48">
        <f t="shared" si="63"/>
        <v>0</v>
      </c>
      <c r="R220" s="48">
        <f t="shared" si="60"/>
        <v>0</v>
      </c>
      <c r="S220" s="48">
        <f t="shared" si="61"/>
        <v>0</v>
      </c>
      <c r="T220" s="72">
        <f aca="true" t="shared" si="65" ref="T220:T226">IF(E220="Freilos",6,IF(F220&gt;G220,6,0))</f>
        <v>0</v>
      </c>
      <c r="U220" s="72">
        <f aca="true" t="shared" si="66" ref="U220:U226">IF(D220="Freilos",6,IF(G220&gt;F220,6,0))</f>
        <v>0</v>
      </c>
      <c r="V220" s="60">
        <f>IF(Spielereingabe!F97="","",89)</f>
      </c>
      <c r="W220" s="61">
        <f>IF(SP128!V220="","",Spielereingabe!F97)</f>
      </c>
      <c r="X220" s="61">
        <f>IF(SP128!V220="","",Spielereingabe!G97)</f>
      </c>
      <c r="Y220" s="61">
        <f>IF(SP128!V220="","",Spielereingabe!H97)</f>
      </c>
      <c r="Z220" s="61">
        <f>IF(SP128!V220="","",Spielereingabe!I97)</f>
      </c>
      <c r="AA220" s="62">
        <f>IF(SP128!V220="","",SP128!X91)</f>
      </c>
      <c r="AB220" s="62">
        <f>IF(SP128!V220="","",SP128!Z91)</f>
      </c>
      <c r="AC220" s="62">
        <f>IF(SP128!V220="","",SP128!AA91)</f>
      </c>
      <c r="AD220" s="62">
        <f>IF(SP128!V220="","",SP128!AC91)</f>
      </c>
      <c r="AE220" s="62">
        <f>IF(SP128!V220="","",SP128!AD91)</f>
      </c>
      <c r="AF220" s="235">
        <f>IF(SP128!V220="","",SP128!AE91)</f>
      </c>
      <c r="AG220" s="238"/>
      <c r="AH220" s="239"/>
    </row>
    <row r="221" spans="3:34" ht="10.5" thickBot="1">
      <c r="C221" s="148">
        <v>219</v>
      </c>
      <c r="D221" s="170" t="str">
        <f>IF(D183="Sieger 105","Sieger 181",IF(E183="Sieger 106","Sieger 181",IF(D183=E183,"Freilos",IF(E183="Freilos",D183,IF(D183="Freilos",E183,IF(F183&gt;G183,D183,IF(G183&gt;F183,E183,"Sieger 181")))))))</f>
        <v>Sieger 181</v>
      </c>
      <c r="E221" s="171" t="str">
        <f>IF(D184="Sieger 107","Sieger 182",IF(E184="Sieger 108","Sieger 182",IF(D184=E184,"Freilos",IF(E184="Freilos",D184,IF(D184="Freilos",E184,IF(F184&gt;G184,D184,IF(G184&gt;F184,E184,"Sieger 182")))))))</f>
        <v>Sieger 182</v>
      </c>
      <c r="F221" s="143"/>
      <c r="G221" s="172"/>
      <c r="H221" s="118"/>
      <c r="I221" s="118"/>
      <c r="J221" s="118"/>
      <c r="K221" s="173"/>
      <c r="L221" s="71"/>
      <c r="M221" s="95"/>
      <c r="N221" s="48">
        <f t="shared" si="57"/>
        <v>0</v>
      </c>
      <c r="O221" s="48">
        <f t="shared" si="58"/>
        <v>0</v>
      </c>
      <c r="P221" s="48">
        <f t="shared" si="59"/>
        <v>0</v>
      </c>
      <c r="Q221" s="48">
        <f t="shared" si="63"/>
        <v>0</v>
      </c>
      <c r="R221" s="48">
        <f t="shared" si="60"/>
        <v>0</v>
      </c>
      <c r="S221" s="48">
        <f t="shared" si="61"/>
        <v>0</v>
      </c>
      <c r="T221" s="72">
        <f t="shared" si="65"/>
        <v>0</v>
      </c>
      <c r="U221" s="72">
        <f t="shared" si="66"/>
        <v>0</v>
      </c>
      <c r="V221" s="60">
        <f>IF(Spielereingabe!F98="","",90)</f>
      </c>
      <c r="W221" s="61">
        <f>IF(SP128!V221="","",Spielereingabe!F98)</f>
      </c>
      <c r="X221" s="61">
        <f>IF(SP128!V221="","",Spielereingabe!G98)</f>
      </c>
      <c r="Y221" s="61">
        <f>IF(SP128!V221="","",Spielereingabe!H98)</f>
      </c>
      <c r="Z221" s="61">
        <f>IF(SP128!V221="","",Spielereingabe!I98)</f>
      </c>
      <c r="AA221" s="62">
        <f>IF(SP128!V221="","",SP128!X92)</f>
      </c>
      <c r="AB221" s="62">
        <f>IF(SP128!V221="","",SP128!Z92)</f>
      </c>
      <c r="AC221" s="62">
        <f>IF(SP128!V221="","",SP128!AA92)</f>
      </c>
      <c r="AD221" s="62">
        <f>IF(SP128!V221="","",SP128!AC92)</f>
      </c>
      <c r="AE221" s="62">
        <f>IF(SP128!V221="","",SP128!AD92)</f>
      </c>
      <c r="AF221" s="235">
        <f>IF(SP128!V221="","",SP128!AE92)</f>
      </c>
      <c r="AG221" s="238"/>
      <c r="AH221" s="239"/>
    </row>
    <row r="222" spans="3:34" ht="10.5" thickBot="1">
      <c r="C222" s="148">
        <v>220</v>
      </c>
      <c r="D222" s="170" t="str">
        <f>IF(D185="Sieger 109","Sieger 183",IF(E185="Sieger 110","Sieger 183",IF(D185=E185,"Freilos",IF(E185="Freilos",D185,IF(D185="Freilos",E185,IF(F185&gt;G185,D185,IF(G185&gt;F185,E185,"Sieger 183")))))))</f>
        <v>Sieger 183</v>
      </c>
      <c r="E222" s="171" t="str">
        <f>IF(D186="Sieger 111","Sieger 184",IF(E186="Sieger 112","Sieger 184",IF(D186=E186,"Freilos",IF(E186="Freilos",D186,IF(D186="Freilos",E186,IF(F186&gt;G186,D186,IF(G186&gt;F186,E186,"Sieger 184")))))))</f>
        <v>Sieger 184</v>
      </c>
      <c r="F222" s="143"/>
      <c r="G222" s="172"/>
      <c r="H222" s="118"/>
      <c r="I222" s="118"/>
      <c r="J222" s="118"/>
      <c r="K222" s="173"/>
      <c r="L222" s="71"/>
      <c r="M222" s="59"/>
      <c r="N222" s="48">
        <f t="shared" si="57"/>
        <v>0</v>
      </c>
      <c r="O222" s="48">
        <f t="shared" si="58"/>
        <v>0</v>
      </c>
      <c r="P222" s="48">
        <f t="shared" si="59"/>
        <v>0</v>
      </c>
      <c r="Q222" s="48">
        <f t="shared" si="63"/>
        <v>0</v>
      </c>
      <c r="R222" s="48">
        <f t="shared" si="60"/>
        <v>0</v>
      </c>
      <c r="S222" s="48">
        <f t="shared" si="61"/>
        <v>0</v>
      </c>
      <c r="T222" s="72">
        <f t="shared" si="65"/>
        <v>0</v>
      </c>
      <c r="U222" s="72">
        <f t="shared" si="66"/>
        <v>0</v>
      </c>
      <c r="V222" s="60">
        <f>IF(Spielereingabe!F99="","",91)</f>
      </c>
      <c r="W222" s="61">
        <f>IF(SP128!V222="","",Spielereingabe!F99)</f>
      </c>
      <c r="X222" s="61">
        <f>IF(SP128!V222="","",Spielereingabe!G99)</f>
      </c>
      <c r="Y222" s="61">
        <f>IF(SP128!V222="","",Spielereingabe!H99)</f>
      </c>
      <c r="Z222" s="61">
        <f>IF(SP128!V222="","",Spielereingabe!I99)</f>
      </c>
      <c r="AA222" s="62">
        <f>IF(SP128!V222="","",SP128!X93)</f>
      </c>
      <c r="AB222" s="62">
        <f>IF(SP128!V222="","",SP128!Z93)</f>
      </c>
      <c r="AC222" s="62">
        <f>IF(SP128!V222="","",SP128!AA93)</f>
      </c>
      <c r="AD222" s="62">
        <f>IF(SP128!V222="","",SP128!AC93)</f>
      </c>
      <c r="AE222" s="62">
        <f>IF(SP128!V222="","",SP128!AD93)</f>
      </c>
      <c r="AF222" s="235">
        <f>IF(SP128!V222="","",SP128!AE93)</f>
      </c>
      <c r="AG222" s="238"/>
      <c r="AH222" s="239"/>
    </row>
    <row r="223" spans="3:34" ht="10.5" thickBot="1">
      <c r="C223" s="148">
        <v>221</v>
      </c>
      <c r="D223" s="170" t="str">
        <f>IF(D187="Sieger 113","Sieger 185",IF(E187="Sieger 114","Sieger 185",IF(D187=E187,"Freilos",IF(E187="Freilos",D187,IF(D187="Freilos",E187,IF(F187&gt;G187,D187,IF(G187&gt;F187,E187,"Sieger 185")))))))</f>
        <v>Sieger 185</v>
      </c>
      <c r="E223" s="171" t="str">
        <f>IF(D188="Sieger 115","Sieger 186",IF(E188="Sieger 116","Sieger 186",IF(D188=E188,"Freilos",IF(E188="Freilos",D188,IF(D188="Freilos",E188,IF(F188&gt;G188,D188,IF(G188&gt;F188,E188,"Sieger 186")))))))</f>
        <v>Sieger 186</v>
      </c>
      <c r="F223" s="143"/>
      <c r="G223" s="172"/>
      <c r="H223" s="118"/>
      <c r="I223" s="118"/>
      <c r="J223" s="118"/>
      <c r="K223" s="173"/>
      <c r="L223" s="71"/>
      <c r="M223" s="95"/>
      <c r="N223" s="48">
        <f t="shared" si="57"/>
        <v>0</v>
      </c>
      <c r="O223" s="48">
        <f t="shared" si="58"/>
        <v>0</v>
      </c>
      <c r="P223" s="48">
        <f t="shared" si="59"/>
        <v>0</v>
      </c>
      <c r="Q223" s="48">
        <f t="shared" si="63"/>
        <v>0</v>
      </c>
      <c r="R223" s="48">
        <f t="shared" si="60"/>
        <v>0</v>
      </c>
      <c r="S223" s="48">
        <f t="shared" si="61"/>
        <v>0</v>
      </c>
      <c r="T223" s="72">
        <f t="shared" si="65"/>
        <v>0</v>
      </c>
      <c r="U223" s="72">
        <f t="shared" si="66"/>
        <v>0</v>
      </c>
      <c r="V223" s="60">
        <f>IF(Spielereingabe!F100="","",92)</f>
      </c>
      <c r="W223" s="61">
        <f>IF(SP128!V223="","",Spielereingabe!F100)</f>
      </c>
      <c r="X223" s="61">
        <f>IF(SP128!V223="","",Spielereingabe!G100)</f>
      </c>
      <c r="Y223" s="61">
        <f>IF(SP128!V223="","",Spielereingabe!H100)</f>
      </c>
      <c r="Z223" s="61">
        <f>IF(SP128!V223="","",Spielereingabe!I100)</f>
      </c>
      <c r="AA223" s="62">
        <f>IF(SP128!V223="","",SP128!X94)</f>
      </c>
      <c r="AB223" s="62">
        <f>IF(SP128!V223="","",SP128!Z94)</f>
      </c>
      <c r="AC223" s="62">
        <f>IF(SP128!V223="","",SP128!AA94)</f>
      </c>
      <c r="AD223" s="62">
        <f>IF(SP128!V223="","",SP128!AC94)</f>
      </c>
      <c r="AE223" s="62">
        <f>IF(SP128!V223="","",SP128!AD94)</f>
      </c>
      <c r="AF223" s="235">
        <f>IF(SP128!V223="","",SP128!AE94)</f>
      </c>
      <c r="AG223" s="238"/>
      <c r="AH223" s="239"/>
    </row>
    <row r="224" spans="3:34" ht="10.5" thickBot="1">
      <c r="C224" s="148">
        <v>222</v>
      </c>
      <c r="D224" s="170" t="str">
        <f>IF(D189="Sieger 117","Sieger 187",IF(E189="Sieger 118","Sieger 187",IF(D189=E189,"Freilos",IF(E189="Freilos",D189,IF(D189="Freilos",E189,IF(F189&gt;G189,D189,IF(G189&gt;F189,E189,"Sieger 187")))))))</f>
        <v>Sieger 187</v>
      </c>
      <c r="E224" s="171" t="str">
        <f>IF(D190="Sieger 119","Sieger 188",IF(E190="Sieger 120","Sieger 188",IF(D190=E190,"Freilos",IF(E190="Freilos",D190,IF(D190="Freilos",E190,IF(F190&gt;G190,D190,IF(G190&gt;F190,E190,"Sieger 188")))))))</f>
        <v>Sieger 188</v>
      </c>
      <c r="F224" s="143"/>
      <c r="G224" s="172"/>
      <c r="H224" s="118"/>
      <c r="I224" s="118"/>
      <c r="J224" s="118"/>
      <c r="K224" s="173"/>
      <c r="L224" s="71"/>
      <c r="N224" s="48">
        <f t="shared" si="57"/>
        <v>0</v>
      </c>
      <c r="O224" s="48">
        <f t="shared" si="58"/>
        <v>0</v>
      </c>
      <c r="P224" s="48">
        <f t="shared" si="59"/>
        <v>0</v>
      </c>
      <c r="Q224" s="48">
        <f t="shared" si="63"/>
        <v>0</v>
      </c>
      <c r="R224" s="48">
        <f t="shared" si="60"/>
        <v>0</v>
      </c>
      <c r="S224" s="48">
        <f t="shared" si="61"/>
        <v>0</v>
      </c>
      <c r="T224" s="72">
        <f t="shared" si="65"/>
        <v>0</v>
      </c>
      <c r="U224" s="72">
        <f t="shared" si="66"/>
        <v>0</v>
      </c>
      <c r="V224" s="60">
        <f>IF(Spielereingabe!F101="","",93)</f>
      </c>
      <c r="W224" s="61">
        <f>IF(SP128!V224="","",Spielereingabe!F101)</f>
      </c>
      <c r="X224" s="61">
        <f>IF(SP128!V224="","",Spielereingabe!G101)</f>
      </c>
      <c r="Y224" s="61">
        <f>IF(SP128!V224="","",Spielereingabe!H101)</f>
      </c>
      <c r="Z224" s="61">
        <f>IF(SP128!V224="","",Spielereingabe!I101)</f>
      </c>
      <c r="AA224" s="62">
        <f>IF(SP128!V224="","",SP128!X95)</f>
      </c>
      <c r="AB224" s="62">
        <f>IF(SP128!V224="","",SP128!Z95)</f>
      </c>
      <c r="AC224" s="62">
        <f>IF(SP128!V224="","",SP128!AA95)</f>
      </c>
      <c r="AD224" s="62">
        <f>IF(SP128!V224="","",SP128!AC95)</f>
      </c>
      <c r="AE224" s="62">
        <f>IF(SP128!V224="","",SP128!AD95)</f>
      </c>
      <c r="AF224" s="235">
        <f>IF(SP128!V224="","",SP128!AE95)</f>
      </c>
      <c r="AG224" s="238"/>
      <c r="AH224" s="239"/>
    </row>
    <row r="225" spans="3:34" ht="10.5" thickBot="1">
      <c r="C225" s="148">
        <v>223</v>
      </c>
      <c r="D225" s="170" t="str">
        <f>IF(D191="Sieger 121","Sieger 189",IF(E191="Sieger 122","Sieger 189",IF(D191=E191,"Freilos",IF(E191="Freilos",D191,IF(D191="Freilos",E191,IF(F191&gt;G191,D191,IF(G191&gt;F191,E191,"Sieger 189")))))))</f>
        <v>Sieger 189</v>
      </c>
      <c r="E225" s="171" t="str">
        <f>IF(D192="Sieger 123","Sieger 190",IF(E192="Sieger 124","Sieger 190",IF(D192=E192,"Freilos",IF(E192="Freilos",D192,IF(D192="Freilos",E192,IF(F192&gt;G192,D192,IF(G192&gt;F192,E192,"Sieger 190")))))))</f>
        <v>Sieger 190</v>
      </c>
      <c r="F225" s="143"/>
      <c r="G225" s="172"/>
      <c r="H225" s="118"/>
      <c r="I225" s="118"/>
      <c r="J225" s="118"/>
      <c r="K225" s="173"/>
      <c r="L225" s="71"/>
      <c r="N225" s="48">
        <f t="shared" si="57"/>
        <v>0</v>
      </c>
      <c r="O225" s="48">
        <f t="shared" si="58"/>
        <v>0</v>
      </c>
      <c r="P225" s="48">
        <f t="shared" si="59"/>
        <v>0</v>
      </c>
      <c r="Q225" s="48">
        <f t="shared" si="63"/>
        <v>0</v>
      </c>
      <c r="R225" s="48">
        <f t="shared" si="60"/>
        <v>0</v>
      </c>
      <c r="S225" s="48">
        <f t="shared" si="61"/>
        <v>0</v>
      </c>
      <c r="T225" s="72">
        <f t="shared" si="65"/>
        <v>0</v>
      </c>
      <c r="U225" s="72">
        <f t="shared" si="66"/>
        <v>0</v>
      </c>
      <c r="V225" s="60">
        <f>IF(Spielereingabe!F102="","",94)</f>
      </c>
      <c r="W225" s="61">
        <f>IF(SP128!V225="","",Spielereingabe!F102)</f>
      </c>
      <c r="X225" s="61">
        <f>IF(SP128!V225="","",Spielereingabe!G102)</f>
      </c>
      <c r="Y225" s="61">
        <f>IF(SP128!V225="","",Spielereingabe!H102)</f>
      </c>
      <c r="Z225" s="61">
        <f>IF(SP128!V225="","",Spielereingabe!I102)</f>
      </c>
      <c r="AA225" s="62">
        <f>IF(SP128!V225="","",SP128!X96)</f>
      </c>
      <c r="AB225" s="62">
        <f>IF(SP128!V225="","",SP128!Z96)</f>
      </c>
      <c r="AC225" s="62">
        <f>IF(SP128!V225="","",SP128!AA96)</f>
      </c>
      <c r="AD225" s="62">
        <f>IF(SP128!V225="","",SP128!AC96)</f>
      </c>
      <c r="AE225" s="62">
        <f>IF(SP128!V225="","",SP128!AD96)</f>
      </c>
      <c r="AF225" s="235">
        <f>IF(SP128!V225="","",SP128!AE96)</f>
      </c>
      <c r="AG225" s="238"/>
      <c r="AH225" s="239"/>
    </row>
    <row r="226" spans="3:34" ht="10.5" thickBot="1">
      <c r="C226" s="148">
        <v>224</v>
      </c>
      <c r="D226" s="174" t="str">
        <f>IF(D193="Sieger 125","Sieger 191",IF(E193="Sieger 126","Sieger 191",IF(D193=E193,"Freilos",IF(E193="Freilos",D193,IF(D193="Freilos",E193,IF(F193&gt;G193,D193,IF(G193&gt;F193,E193,"Sieger 191")))))))</f>
        <v>Sieger 191</v>
      </c>
      <c r="E226" s="175" t="str">
        <f>IF(D194="Sieger 127","Sieger 192",IF(E194="Sieger 128","Sieger 192",IF(D194=E194,"Freilos",IF(E194="Freilos",D194,IF(D194="Freilos",E194,IF(F194&gt;G194,D194,IF(G194&gt;F194,E194,"Sieger 192")))))))</f>
        <v>Sieger 192</v>
      </c>
      <c r="F226" s="176"/>
      <c r="G226" s="177"/>
      <c r="H226" s="178"/>
      <c r="I226" s="178"/>
      <c r="J226" s="178"/>
      <c r="K226" s="179"/>
      <c r="L226" s="71"/>
      <c r="N226" s="48">
        <f t="shared" si="57"/>
        <v>0</v>
      </c>
      <c r="O226" s="48">
        <f t="shared" si="58"/>
        <v>0</v>
      </c>
      <c r="P226" s="48">
        <f t="shared" si="59"/>
        <v>0</v>
      </c>
      <c r="Q226" s="48">
        <f t="shared" si="63"/>
        <v>0</v>
      </c>
      <c r="R226" s="48">
        <f t="shared" si="60"/>
        <v>0</v>
      </c>
      <c r="S226" s="48">
        <f t="shared" si="61"/>
        <v>0</v>
      </c>
      <c r="T226" s="72">
        <f t="shared" si="65"/>
        <v>0</v>
      </c>
      <c r="U226" s="72">
        <f t="shared" si="66"/>
        <v>0</v>
      </c>
      <c r="V226" s="60">
        <f>IF(Spielereingabe!F103="","",95)</f>
      </c>
      <c r="W226" s="61">
        <f>IF(SP128!V226="","",Spielereingabe!F103)</f>
      </c>
      <c r="X226" s="61">
        <f>IF(SP128!V226="","",Spielereingabe!G103)</f>
      </c>
      <c r="Y226" s="61">
        <f>IF(SP128!V226="","",Spielereingabe!H103)</f>
      </c>
      <c r="Z226" s="61">
        <f>IF(SP128!V226="","",Spielereingabe!I103)</f>
      </c>
      <c r="AA226" s="62">
        <f>IF(SP128!V226="","",SP128!X97)</f>
      </c>
      <c r="AB226" s="62">
        <f>IF(SP128!V226="","",SP128!Z97)</f>
      </c>
      <c r="AC226" s="62">
        <f>IF(SP128!V226="","",SP128!AA97)</f>
      </c>
      <c r="AD226" s="62">
        <f>IF(SP128!V226="","",SP128!AC97)</f>
      </c>
      <c r="AE226" s="62">
        <f>IF(SP128!V226="","",SP128!AD97)</f>
      </c>
      <c r="AF226" s="235">
        <f>IF(SP128!V226="","",SP128!AE97)</f>
      </c>
      <c r="AG226" s="238"/>
      <c r="AH226" s="239"/>
    </row>
    <row r="227" spans="2:34" ht="10.5" thickBot="1">
      <c r="B227" s="88" t="s">
        <v>32</v>
      </c>
      <c r="C227" s="148">
        <v>225</v>
      </c>
      <c r="D227" s="159" t="str">
        <f>IF(D211="Sieger 193","Sieger 209",IF(E211="Sieger 194","Sieger 209",IF(D211=E211,"Freilos",IF(E211="Freilos",D211,IF(D211="Freilos",E211,IF(F211&gt;G211,D211,IF(G211&gt;F211,E211,"Sieger 209")))))))</f>
        <v>Sieger 209</v>
      </c>
      <c r="E227" s="180" t="str">
        <f>IF(D221="Sieger 181","Verlierer 219",IF(E221="Sieger 182","Verlierer 219",IF(D221=E221,"Freilos",IF(D221="Freilos",D221,IF(E221="Freilos",E221,IF(F221&gt;G221,E221,IF(G221&gt;F221,D221,"Verlierer 219")))))))</f>
        <v>Verlierer 219</v>
      </c>
      <c r="F227" s="91"/>
      <c r="G227" s="92"/>
      <c r="H227" s="162"/>
      <c r="I227" s="162"/>
      <c r="J227" s="162"/>
      <c r="K227" s="163"/>
      <c r="L227" s="71"/>
      <c r="M227" s="95">
        <f aca="true" t="shared" si="67" ref="M227:M238">IF(F227&gt;G227,E227,IF(G227&gt;F227,D227,""))</f>
      </c>
      <c r="N227" s="48">
        <f t="shared" si="57"/>
        <v>0</v>
      </c>
      <c r="O227" s="48">
        <f t="shared" si="58"/>
        <v>0</v>
      </c>
      <c r="P227" s="48">
        <f t="shared" si="59"/>
        <v>0</v>
      </c>
      <c r="Q227" s="48">
        <f t="shared" si="63"/>
        <v>0</v>
      </c>
      <c r="R227" s="48">
        <f t="shared" si="60"/>
        <v>0</v>
      </c>
      <c r="S227" s="48">
        <f t="shared" si="61"/>
        <v>0</v>
      </c>
      <c r="T227" s="72">
        <f>IF(E229="Freilos",3,IF(F227&gt;G227,3,0))</f>
        <v>0</v>
      </c>
      <c r="U227" s="72">
        <f t="shared" si="62"/>
        <v>0</v>
      </c>
      <c r="V227" s="60">
        <f>IF(Spielereingabe!F104="","",96)</f>
      </c>
      <c r="W227" s="61">
        <f>IF(SP128!V227="","",Spielereingabe!F104)</f>
      </c>
      <c r="X227" s="61">
        <f>IF(SP128!V227="","",Spielereingabe!G104)</f>
      </c>
      <c r="Y227" s="61">
        <f>IF(SP128!V227="","",Spielereingabe!H104)</f>
      </c>
      <c r="Z227" s="61">
        <f>IF(SP128!V227="","",Spielereingabe!I104)</f>
      </c>
      <c r="AA227" s="62">
        <f>IF(SP128!V227="","",SP128!X98)</f>
      </c>
      <c r="AB227" s="62">
        <f>IF(SP128!V227="","",SP128!Z98)</f>
      </c>
      <c r="AC227" s="62">
        <f>IF(SP128!V227="","",SP128!AA98)</f>
      </c>
      <c r="AD227" s="62">
        <f>IF(SP128!V227="","",SP128!AC98)</f>
      </c>
      <c r="AE227" s="62">
        <f>IF(SP128!V227="","",SP128!AD98)</f>
      </c>
      <c r="AF227" s="235">
        <f>IF(SP128!V227="","",SP128!AE98)</f>
      </c>
      <c r="AG227" s="238"/>
      <c r="AH227" s="239"/>
    </row>
    <row r="228" spans="3:34" ht="10.5" thickBot="1">
      <c r="C228" s="148">
        <v>226</v>
      </c>
      <c r="D228" s="159" t="str">
        <f>IF(D212="Sieger 195","Sieger 210",IF(E212="Sieger 196","Sieger 210",IF(D212=E212,"Freilos",IF(E212="Freilos",D212,IF(D212="Freilos",E212,IF(F212&gt;G212,D212,IF(G212&gt;F212,E212,"Sieger 210")))))))</f>
        <v>Sieger 210</v>
      </c>
      <c r="E228" s="180" t="str">
        <f>IF(D222="Sieger 183","Verlierer 220",IF(E222="Sieger 184","Verlierer 220",IF(D222=E222,"Freilos",IF(D222="Freilos",D222,IF(E222="Freilos",E222,IF(F222&gt;G222,E222,IF(G222&gt;F222,D222,"Verlierer 220")))))))</f>
        <v>Verlierer 220</v>
      </c>
      <c r="F228" s="98"/>
      <c r="G228" s="99"/>
      <c r="H228" s="154"/>
      <c r="I228" s="154"/>
      <c r="J228" s="154"/>
      <c r="K228" s="155"/>
      <c r="L228" s="71"/>
      <c r="M228" s="95">
        <f t="shared" si="67"/>
      </c>
      <c r="N228" s="48">
        <f t="shared" si="57"/>
        <v>0</v>
      </c>
      <c r="O228" s="48">
        <f t="shared" si="58"/>
        <v>0</v>
      </c>
      <c r="P228" s="48">
        <f t="shared" si="59"/>
        <v>0</v>
      </c>
      <c r="Q228" s="48">
        <f t="shared" si="63"/>
        <v>0</v>
      </c>
      <c r="R228" s="48">
        <f t="shared" si="60"/>
        <v>0</v>
      </c>
      <c r="S228" s="48">
        <f t="shared" si="61"/>
        <v>0</v>
      </c>
      <c r="T228" s="72">
        <f>IF(E230="Freilos",3,IF(F228&gt;G228,3,0))</f>
        <v>0</v>
      </c>
      <c r="U228" s="72">
        <f t="shared" si="62"/>
        <v>0</v>
      </c>
      <c r="V228" s="60">
        <f>IF(Spielereingabe!F105="","",97)</f>
      </c>
      <c r="W228" s="61">
        <f>IF(SP128!V228="","",Spielereingabe!F105)</f>
      </c>
      <c r="X228" s="61">
        <f>IF(SP128!V228="","",Spielereingabe!G105)</f>
      </c>
      <c r="Y228" s="61">
        <f>IF(SP128!V228="","",Spielereingabe!H105)</f>
      </c>
      <c r="Z228" s="61">
        <f>IF(SP128!V228="","",Spielereingabe!I105)</f>
      </c>
      <c r="AA228" s="62">
        <f>IF(SP128!V228="","",SP128!X99)</f>
      </c>
      <c r="AB228" s="62">
        <f>IF(SP128!V228="","",SP128!Z99)</f>
      </c>
      <c r="AC228" s="62">
        <f>IF(SP128!V228="","",SP128!AA99)</f>
      </c>
      <c r="AD228" s="62">
        <f>IF(SP128!V228="","",SP128!AC99)</f>
      </c>
      <c r="AE228" s="62">
        <f>IF(SP128!V228="","",SP128!AD99)</f>
      </c>
      <c r="AF228" s="235">
        <f>IF(SP128!V228="","",SP128!AE99)</f>
      </c>
      <c r="AG228" s="238"/>
      <c r="AH228" s="239"/>
    </row>
    <row r="229" spans="3:34" ht="10.5" thickBot="1">
      <c r="C229" s="148">
        <v>227</v>
      </c>
      <c r="D229" s="159" t="str">
        <f>IF(D213="Sieger 197","Sieger 211",IF(E213="Sieger 198","Sieger 211",IF(D213=E213,"Freilos",IF(E213="Freilos",D213,IF(D213="Freilos",E213,IF(F213&gt;G213,D213,IF(G213&gt;F213,E213,"Sieger 211")))))))</f>
        <v>Sieger 211</v>
      </c>
      <c r="E229" s="180" t="str">
        <f>IF(D219="Sieger 177","Verlierer 217",IF(E219="Sieger 178","Verlierer 217",IF(D219=E219,"Freilos",IF(D219="Freilos",D219,IF(E219="Freilos",E219,IF(F219&gt;G219,E219,IF(G219&gt;F219,D219,"Verlierer 217")))))))</f>
        <v>Verlierer 217</v>
      </c>
      <c r="F229" s="98"/>
      <c r="G229" s="99"/>
      <c r="H229" s="154"/>
      <c r="I229" s="154"/>
      <c r="J229" s="154"/>
      <c r="K229" s="155"/>
      <c r="L229" s="71"/>
      <c r="M229" s="95">
        <f t="shared" si="67"/>
      </c>
      <c r="N229" s="48">
        <f t="shared" si="57"/>
        <v>0</v>
      </c>
      <c r="O229" s="48">
        <f t="shared" si="58"/>
        <v>0</v>
      </c>
      <c r="P229" s="48">
        <f t="shared" si="59"/>
        <v>0</v>
      </c>
      <c r="Q229" s="48">
        <f t="shared" si="63"/>
        <v>0</v>
      </c>
      <c r="R229" s="48">
        <f t="shared" si="60"/>
        <v>0</v>
      </c>
      <c r="S229" s="48">
        <f t="shared" si="61"/>
        <v>0</v>
      </c>
      <c r="T229" s="72">
        <f>IF(E227="Freilos",3,IF(F229&gt;G229,3,0))</f>
        <v>0</v>
      </c>
      <c r="U229" s="72">
        <f t="shared" si="62"/>
        <v>0</v>
      </c>
      <c r="V229" s="60">
        <f>IF(Spielereingabe!F106="","",98)</f>
      </c>
      <c r="W229" s="61">
        <f>IF(SP128!V229="","",Spielereingabe!F106)</f>
      </c>
      <c r="X229" s="61">
        <f>IF(SP128!V229="","",Spielereingabe!G106)</f>
      </c>
      <c r="Y229" s="61">
        <f>IF(SP128!V229="","",Spielereingabe!H106)</f>
      </c>
      <c r="Z229" s="61">
        <f>IF(SP128!V229="","",Spielereingabe!I106)</f>
      </c>
      <c r="AA229" s="62">
        <f>IF(SP128!V229="","",SP128!X100)</f>
      </c>
      <c r="AB229" s="62">
        <f>IF(SP128!V229="","",SP128!Z100)</f>
      </c>
      <c r="AC229" s="62">
        <f>IF(SP128!V229="","",SP128!AA100)</f>
      </c>
      <c r="AD229" s="62">
        <f>IF(SP128!V229="","",SP128!AC100)</f>
      </c>
      <c r="AE229" s="62">
        <f>IF(SP128!V229="","",SP128!AD100)</f>
      </c>
      <c r="AF229" s="235">
        <f>IF(SP128!V229="","",SP128!AE100)</f>
      </c>
      <c r="AG229" s="238"/>
      <c r="AH229" s="239"/>
    </row>
    <row r="230" spans="3:34" ht="10.5" thickBot="1">
      <c r="C230" s="148">
        <v>228</v>
      </c>
      <c r="D230" s="159" t="str">
        <f>IF(D214="Sieger 199","Sieger 212",IF(E214="Sieger 200","Sieger 212",IF(D214=E214,"Freilos",IF(E214="Freilos",D214,IF(D214="Freilos",E214,IF(F214&gt;G214,D214,IF(G214&gt;F214,E214,"Sieger 212")))))))</f>
        <v>Sieger 212</v>
      </c>
      <c r="E230" s="180" t="str">
        <f>IF(D220="Sieger 179","Verlierer 218",IF(E220="Sieger 180","Verlierer 218",IF(D220=E220,"Freilos",IF(D220="Freilos",D220,IF(E220="Freilos",E220,IF(F220&gt;G220,E220,IF(G220&gt;F220,D220,"Verlierer 218")))))))</f>
        <v>Verlierer 218</v>
      </c>
      <c r="F230" s="98"/>
      <c r="G230" s="99"/>
      <c r="H230" s="154"/>
      <c r="I230" s="154"/>
      <c r="J230" s="154"/>
      <c r="K230" s="155"/>
      <c r="L230" s="71"/>
      <c r="M230" s="95">
        <f t="shared" si="67"/>
      </c>
      <c r="N230" s="48">
        <f t="shared" si="57"/>
        <v>0</v>
      </c>
      <c r="O230" s="48">
        <f t="shared" si="58"/>
        <v>0</v>
      </c>
      <c r="P230" s="48">
        <f t="shared" si="59"/>
        <v>0</v>
      </c>
      <c r="Q230" s="48">
        <f t="shared" si="63"/>
        <v>0</v>
      </c>
      <c r="R230" s="48">
        <f t="shared" si="60"/>
        <v>0</v>
      </c>
      <c r="S230" s="48">
        <f t="shared" si="61"/>
        <v>0</v>
      </c>
      <c r="T230" s="72">
        <f>IF(E228="Freilos",3,IF(F230&gt;G230,3,0))</f>
        <v>0</v>
      </c>
      <c r="U230" s="72">
        <f t="shared" si="62"/>
        <v>0</v>
      </c>
      <c r="V230" s="60">
        <f>IF(Spielereingabe!F107="","",99)</f>
      </c>
      <c r="W230" s="61">
        <f>IF(SP128!V230="","",Spielereingabe!F107)</f>
      </c>
      <c r="X230" s="61">
        <f>IF(SP128!V230="","",Spielereingabe!G107)</f>
      </c>
      <c r="Y230" s="61">
        <f>IF(SP128!V230="","",Spielereingabe!H107)</f>
      </c>
      <c r="Z230" s="61">
        <f>IF(SP128!V230="","",Spielereingabe!I107)</f>
      </c>
      <c r="AA230" s="62">
        <f>IF(SP128!V230="","",SP128!X101)</f>
      </c>
      <c r="AB230" s="62">
        <f>IF(SP128!V230="","",SP128!Z101)</f>
      </c>
      <c r="AC230" s="62">
        <f>IF(SP128!V230="","",SP128!AA101)</f>
      </c>
      <c r="AD230" s="62">
        <f>IF(SP128!V230="","",SP128!AC101)</f>
      </c>
      <c r="AE230" s="62">
        <f>IF(SP128!V230="","",SP128!AD101)</f>
      </c>
      <c r="AF230" s="235">
        <f>IF(SP128!V230="","",SP128!AE101)</f>
      </c>
      <c r="AG230" s="238"/>
      <c r="AH230" s="239"/>
    </row>
    <row r="231" spans="3:34" ht="10.5" thickBot="1">
      <c r="C231" s="148">
        <v>229</v>
      </c>
      <c r="D231" s="159" t="str">
        <f>IF(D215="Sieger 201","Sieger 213",IF(E215="Sieger 202","Sieger 213",IF(D215=E215,"Freilos",IF(E215="Freilos",D215,IF(D215="Freilos",E215,IF(F215&gt;G215,D215,IF(G215&gt;F215,E215,"Sieger 213")))))))</f>
        <v>Sieger 213</v>
      </c>
      <c r="E231" s="180" t="str">
        <f>IF(D225="Sieger 189","Verlierer 223",IF(E225="Sieger 190","Verlierer 223",IF(D225=E225,"Freilos",IF(D225="Freilos",D225,IF(E225="Freilos",E225,IF(F225&gt;G225,E225,IF(G225&gt;F225,D225,"Verlierer 223")))))))</f>
        <v>Verlierer 223</v>
      </c>
      <c r="F231" s="98"/>
      <c r="G231" s="99"/>
      <c r="H231" s="154"/>
      <c r="I231" s="154"/>
      <c r="J231" s="154"/>
      <c r="K231" s="155"/>
      <c r="L231" s="71"/>
      <c r="M231" s="95">
        <f t="shared" si="67"/>
      </c>
      <c r="N231" s="48">
        <f t="shared" si="57"/>
        <v>0</v>
      </c>
      <c r="O231" s="48">
        <f t="shared" si="58"/>
        <v>0</v>
      </c>
      <c r="P231" s="48">
        <f t="shared" si="59"/>
        <v>0</v>
      </c>
      <c r="Q231" s="48">
        <f t="shared" si="63"/>
        <v>0</v>
      </c>
      <c r="R231" s="48">
        <f t="shared" si="60"/>
        <v>0</v>
      </c>
      <c r="S231" s="48">
        <f t="shared" si="61"/>
        <v>0</v>
      </c>
      <c r="T231" s="72">
        <f>IF(E233="Freilos",3,IF(F231&gt;G231,3,0))</f>
        <v>0</v>
      </c>
      <c r="U231" s="72">
        <f t="shared" si="62"/>
        <v>0</v>
      </c>
      <c r="V231" s="60">
        <f>IF(Spielereingabe!F108="","",100)</f>
      </c>
      <c r="W231" s="61">
        <f>IF(SP128!V231="","",Spielereingabe!F108)</f>
      </c>
      <c r="X231" s="61">
        <f>IF(SP128!V231="","",Spielereingabe!G108)</f>
      </c>
      <c r="Y231" s="61">
        <f>IF(SP128!V231="","",Spielereingabe!H108)</f>
      </c>
      <c r="Z231" s="61">
        <f>IF(SP128!V231="","",Spielereingabe!I108)</f>
      </c>
      <c r="AA231" s="62">
        <f>IF(SP128!V231="","",SP128!X102)</f>
      </c>
      <c r="AB231" s="62">
        <f>IF(SP128!V231="","",SP128!Z102)</f>
      </c>
      <c r="AC231" s="62">
        <f>IF(SP128!V231="","",SP128!AA102)</f>
      </c>
      <c r="AD231" s="62">
        <f>IF(SP128!V231="","",SP128!AC102)</f>
      </c>
      <c r="AE231" s="62">
        <f>IF(SP128!V231="","",SP128!AD102)</f>
      </c>
      <c r="AF231" s="235">
        <f>IF(SP128!V231="","",SP128!AE102)</f>
      </c>
      <c r="AG231" s="238"/>
      <c r="AH231" s="239"/>
    </row>
    <row r="232" spans="3:34" ht="10.5" thickBot="1">
      <c r="C232" s="148">
        <v>230</v>
      </c>
      <c r="D232" s="159" t="str">
        <f>IF(D216="Sieger 203","Sieger 214",IF(E216="Sieger 204","Sieger 214",IF(D216=E216,"Freilos",IF(E216="Freilos",D216,IF(D216="Freilos",E216,IF(F216&gt;G216,D216,IF(G216&gt;F216,E216,"Sieger 214")))))))</f>
        <v>Sieger 214</v>
      </c>
      <c r="E232" s="180" t="str">
        <f>IF(D226="Sieger 191","Verlierer 224",IF(E226="Sieger 192","Verlierer 224",IF(D226=E226,"Freilos",IF(D226="Freilos",D226,IF(E226="Freilos",E226,IF(F226&gt;G226,E226,IF(G226&gt;F226,D226,"Verlierer 224")))))))</f>
        <v>Verlierer 224</v>
      </c>
      <c r="F232" s="98"/>
      <c r="G232" s="99"/>
      <c r="H232" s="154"/>
      <c r="I232" s="154"/>
      <c r="J232" s="154"/>
      <c r="K232" s="155"/>
      <c r="L232" s="71"/>
      <c r="M232" s="95">
        <f t="shared" si="67"/>
      </c>
      <c r="N232" s="48">
        <f t="shared" si="57"/>
        <v>0</v>
      </c>
      <c r="O232" s="48">
        <f t="shared" si="58"/>
        <v>0</v>
      </c>
      <c r="P232" s="48">
        <f t="shared" si="59"/>
        <v>0</v>
      </c>
      <c r="Q232" s="48">
        <f t="shared" si="63"/>
        <v>0</v>
      </c>
      <c r="R232" s="48">
        <f t="shared" si="60"/>
        <v>0</v>
      </c>
      <c r="S232" s="48">
        <f t="shared" si="61"/>
        <v>0</v>
      </c>
      <c r="T232" s="72">
        <f>IF(E234="Freilos",3,IF(F232&gt;G232,3,0))</f>
        <v>0</v>
      </c>
      <c r="U232" s="72">
        <f t="shared" si="62"/>
        <v>0</v>
      </c>
      <c r="V232" s="60">
        <f>IF(Spielereingabe!F109="","",101)</f>
      </c>
      <c r="W232" s="61">
        <f>IF(SP128!V232="","",Spielereingabe!F109)</f>
      </c>
      <c r="X232" s="61">
        <f>IF(SP128!V232="","",Spielereingabe!G109)</f>
      </c>
      <c r="Y232" s="61">
        <f>IF(SP128!V232="","",Spielereingabe!H109)</f>
      </c>
      <c r="Z232" s="61">
        <f>IF(SP128!V232="","",Spielereingabe!I109)</f>
      </c>
      <c r="AA232" s="62">
        <f>IF(SP128!V232="","",SP128!X103)</f>
      </c>
      <c r="AB232" s="62">
        <f>IF(SP128!V232="","",SP128!Z103)</f>
      </c>
      <c r="AC232" s="62">
        <f>IF(SP128!V232="","",SP128!AA103)</f>
      </c>
      <c r="AD232" s="62">
        <f>IF(SP128!V232="","",SP128!AC103)</f>
      </c>
      <c r="AE232" s="62">
        <f>IF(SP128!V232="","",SP128!AD103)</f>
      </c>
      <c r="AF232" s="235">
        <f>IF(SP128!V232="","",SP128!AE103)</f>
      </c>
      <c r="AG232" s="238"/>
      <c r="AH232" s="239"/>
    </row>
    <row r="233" spans="3:34" ht="10.5" thickBot="1">
      <c r="C233" s="148">
        <v>231</v>
      </c>
      <c r="D233" s="159" t="str">
        <f>IF(D217="Sieger 205","Sieger 215",IF(E217="Sieger 205","Sieger 215",IF(D217=E217,"Freilos",IF(E217="Freilos",D217,IF(D217="Freilos",E217,IF(F217&gt;G217,D217,IF(G217&gt;F217,E217,"Sieger 215")))))))</f>
        <v>Sieger 215</v>
      </c>
      <c r="E233" s="180" t="str">
        <f>IF(D223="Sieger 185","Verlierer 221",IF(E223="Sieger 186","Verlierer 221",IF(D223=E223,"Freilos",IF(D223="Freilos",D223,IF(E223="Freilos",E223,IF(F223&gt;G223,E223,IF(G223&gt;F223,D223,"Verlierer 221")))))))</f>
        <v>Verlierer 221</v>
      </c>
      <c r="F233" s="98"/>
      <c r="G233" s="99"/>
      <c r="H233" s="154"/>
      <c r="I233" s="154"/>
      <c r="J233" s="154"/>
      <c r="K233" s="155"/>
      <c r="L233" s="71"/>
      <c r="M233" s="95">
        <f t="shared" si="67"/>
      </c>
      <c r="N233" s="48">
        <f t="shared" si="57"/>
        <v>0</v>
      </c>
      <c r="O233" s="48">
        <f t="shared" si="58"/>
        <v>0</v>
      </c>
      <c r="P233" s="48">
        <f t="shared" si="59"/>
        <v>0</v>
      </c>
      <c r="Q233" s="48">
        <f t="shared" si="63"/>
        <v>0</v>
      </c>
      <c r="R233" s="48">
        <f t="shared" si="60"/>
        <v>0</v>
      </c>
      <c r="S233" s="48">
        <f t="shared" si="61"/>
        <v>0</v>
      </c>
      <c r="T233" s="72">
        <f>IF(E231="Freilos",3,IF(F233&gt;G233,3,0))</f>
        <v>0</v>
      </c>
      <c r="U233" s="72">
        <f t="shared" si="62"/>
        <v>0</v>
      </c>
      <c r="V233" s="60">
        <f>IF(Spielereingabe!F110="","",102)</f>
      </c>
      <c r="W233" s="61">
        <f>IF(SP128!V233="","",Spielereingabe!F110)</f>
      </c>
      <c r="X233" s="61">
        <f>IF(SP128!V233="","",Spielereingabe!G110)</f>
      </c>
      <c r="Y233" s="61">
        <f>IF(SP128!V233="","",Spielereingabe!H110)</f>
      </c>
      <c r="Z233" s="61">
        <f>IF(SP128!V233="","",Spielereingabe!I110)</f>
      </c>
      <c r="AA233" s="62">
        <f>IF(SP128!V233="","",SP128!X104)</f>
      </c>
      <c r="AB233" s="62">
        <f>IF(SP128!V233="","",SP128!Z104)</f>
      </c>
      <c r="AC233" s="62">
        <f>IF(SP128!V233="","",SP128!AA104)</f>
      </c>
      <c r="AD233" s="62">
        <f>IF(SP128!V233="","",SP128!AC104)</f>
      </c>
      <c r="AE233" s="62">
        <f>IF(SP128!V233="","",SP128!AD104)</f>
      </c>
      <c r="AF233" s="235">
        <f>IF(SP128!V233="","",SP128!AE104)</f>
      </c>
      <c r="AG233" s="238"/>
      <c r="AH233" s="239"/>
    </row>
    <row r="234" spans="3:34" ht="10.5" thickBot="1">
      <c r="C234" s="148">
        <v>232</v>
      </c>
      <c r="D234" s="181" t="str">
        <f>IF(D218="Sieger 207","Sieger 216",IF(E218="Sieger 208","Sieger 216",IF(D218=E218,"Freilos",IF(E218="Freilos",D218,IF(D218="Freilos",E218,IF(F218&gt;G218,D218,IF(G218&gt;F218,E218,"Sieger 216")))))))</f>
        <v>Sieger 216</v>
      </c>
      <c r="E234" s="182" t="str">
        <f>IF(D224="Sieger 187","Verlierer 222",IF(E224="Sieger 188","Verlierer 222",IF(D224=E224,"Freilos",IF(D224="Freilos",D224,IF(E224="Freilos",E224,IF(F224&gt;G224,E224,IF(G224&gt;F224,D224,"Verlierer 222")))))))</f>
        <v>Verlierer 222</v>
      </c>
      <c r="F234" s="183"/>
      <c r="G234" s="184"/>
      <c r="H234" s="185"/>
      <c r="I234" s="185"/>
      <c r="J234" s="185"/>
      <c r="K234" s="186"/>
      <c r="L234" s="71"/>
      <c r="M234" s="95">
        <f t="shared" si="67"/>
      </c>
      <c r="N234" s="48">
        <f t="shared" si="57"/>
        <v>0</v>
      </c>
      <c r="O234" s="48">
        <f t="shared" si="58"/>
        <v>0</v>
      </c>
      <c r="P234" s="48">
        <f t="shared" si="59"/>
        <v>0</v>
      </c>
      <c r="Q234" s="48">
        <f t="shared" si="63"/>
        <v>0</v>
      </c>
      <c r="R234" s="48">
        <f t="shared" si="60"/>
        <v>0</v>
      </c>
      <c r="S234" s="48">
        <f t="shared" si="61"/>
        <v>0</v>
      </c>
      <c r="T234" s="72">
        <f>IF(E232="Freilos",3,IF(F234&gt;G234,3,0))</f>
        <v>0</v>
      </c>
      <c r="U234" s="72">
        <f t="shared" si="62"/>
        <v>0</v>
      </c>
      <c r="V234" s="60">
        <f>IF(Spielereingabe!F111="","",103)</f>
      </c>
      <c r="W234" s="61">
        <f>IF(SP128!V234="","",Spielereingabe!F111)</f>
      </c>
      <c r="X234" s="61">
        <f>IF(SP128!V234="","",Spielereingabe!G111)</f>
      </c>
      <c r="Y234" s="61">
        <f>IF(SP128!V234="","",Spielereingabe!H111)</f>
      </c>
      <c r="Z234" s="61">
        <f>IF(SP128!V234="","",Spielereingabe!I111)</f>
      </c>
      <c r="AA234" s="62">
        <f>IF(SP128!V234="","",SP128!X105)</f>
      </c>
      <c r="AB234" s="62">
        <f>IF(SP128!V234="","",SP128!Z105)</f>
      </c>
      <c r="AC234" s="62">
        <f>IF(SP128!V234="","",SP128!AA105)</f>
      </c>
      <c r="AD234" s="62">
        <f>IF(SP128!V234="","",SP128!AC105)</f>
      </c>
      <c r="AE234" s="62">
        <f>IF(SP128!V234="","",SP128!AD105)</f>
      </c>
      <c r="AF234" s="235">
        <f>IF(SP128!V234="","",SP128!AE105)</f>
      </c>
      <c r="AG234" s="238"/>
      <c r="AH234" s="239"/>
    </row>
    <row r="235" spans="2:34" ht="10.5" thickBot="1">
      <c r="B235" s="88" t="s">
        <v>44</v>
      </c>
      <c r="C235" s="148">
        <v>233</v>
      </c>
      <c r="D235" s="149" t="str">
        <f>IF(D227="Sieger 209","Sieger 225",IF(E227="Verlierer 219","Sieger 225",IF(D227=E227,"Freilos",IF(E227="Freilos",D227,IF(D227="Freilos",E227,IF(F227&gt;G227,D227,IF(G227&gt;F227,E227,"Sieger 225")))))))</f>
        <v>Sieger 225</v>
      </c>
      <c r="E235" s="187" t="str">
        <f>IF(D228="Sieger 210","Sieger 226",IF(E228="Verlierer 220","Sieger 226",IF(D228=E228,"Freilos",IF(E228="Freilos",D228,IF(D228="Freilos",E228,IF(F228&gt;G228,D228,IF(G228&gt;F228,E228,"Sieger 226")))))))</f>
        <v>Sieger 226</v>
      </c>
      <c r="F235" s="123"/>
      <c r="G235" s="92"/>
      <c r="H235" s="162"/>
      <c r="I235" s="162"/>
      <c r="J235" s="162"/>
      <c r="K235" s="163"/>
      <c r="L235" s="71"/>
      <c r="M235" s="95">
        <f t="shared" si="67"/>
      </c>
      <c r="N235" s="48">
        <f aca="true" t="shared" si="68" ref="N235:N246">F235+G235</f>
        <v>0</v>
      </c>
      <c r="O235" s="48">
        <f t="shared" si="58"/>
        <v>0</v>
      </c>
      <c r="P235" s="48">
        <f aca="true" t="shared" si="69" ref="P235:P246">IF(D235="Freilos",0,IF(F235&lt;G235,1,IF(F235&gt;G235,1,0)))</f>
        <v>0</v>
      </c>
      <c r="Q235" s="48">
        <f aca="true" t="shared" si="70" ref="Q235:Q246">IF(D235="Freilos",0,IF(F235&lt;G235,1,IF(F235&gt;G235,1,0)))</f>
        <v>0</v>
      </c>
      <c r="R235" s="48">
        <f aca="true" t="shared" si="71" ref="R235:R246">IF(D235="Freilos",0,IF(F235&gt;G235,1,0))</f>
        <v>0</v>
      </c>
      <c r="S235" s="48">
        <f aca="true" t="shared" si="72" ref="S235:S246">IF(D235="Freilos",0,IF(G235&gt;F235,1,0))</f>
        <v>0</v>
      </c>
      <c r="T235" s="72">
        <f>IF(E235="Freilos",3,IF(F235&gt;G235,3,0))</f>
        <v>0</v>
      </c>
      <c r="U235" s="72">
        <f t="shared" si="62"/>
        <v>0</v>
      </c>
      <c r="V235" s="60">
        <f>IF(Spielereingabe!F112="","",104)</f>
      </c>
      <c r="W235" s="61">
        <f>IF(SP128!V235="","",Spielereingabe!F112)</f>
      </c>
      <c r="X235" s="61">
        <f>IF(SP128!V235="","",Spielereingabe!G112)</f>
      </c>
      <c r="Y235" s="61">
        <f>IF(SP128!V235="","",Spielereingabe!H112)</f>
      </c>
      <c r="Z235" s="61">
        <f>IF(SP128!V235="","",Spielereingabe!I112)</f>
      </c>
      <c r="AA235" s="62">
        <f>IF(SP128!V235="","",SP128!X106)</f>
      </c>
      <c r="AB235" s="62">
        <f>IF(SP128!V235="","",SP128!Z106)</f>
      </c>
      <c r="AC235" s="62">
        <f>IF(SP128!V235="","",SP128!AA106)</f>
      </c>
      <c r="AD235" s="62">
        <f>IF(SP128!V235="","",SP128!AC106)</f>
      </c>
      <c r="AE235" s="62">
        <f>IF(SP128!V235="","",SP128!AD106)</f>
      </c>
      <c r="AF235" s="235">
        <f>IF(SP128!V235="","",SP128!AE106)</f>
      </c>
      <c r="AG235" s="238"/>
      <c r="AH235" s="239"/>
    </row>
    <row r="236" spans="3:34" ht="10.5" thickBot="1">
      <c r="C236" s="148">
        <v>234</v>
      </c>
      <c r="D236" s="153" t="str">
        <f>IF(D229="Sieger 211","Sieger 227",IF(E229="Verlierer 217","Sieger 227",IF(D229=E229,"Freilos",IF(E229="Freilos",D229,IF(D229="Freilos",E229,IF(F229&gt;G229,D229,IF(G229&gt;F229,E229,"Sieger 227")))))))</f>
        <v>Sieger 227</v>
      </c>
      <c r="E236" s="188" t="str">
        <f>IF(D230="Sieger 212","Sieger 228",IF(E230="Verlierer 218","Sieger 228",IF(D230=E230,"Freilos",IF(E230="Freilos",D230,IF(D230="Freilos",E230,IF(F230&gt;G230,D230,IF(G230&gt;F230,E230,"Sieger 228")))))))</f>
        <v>Sieger 228</v>
      </c>
      <c r="F236" s="128"/>
      <c r="G236" s="99"/>
      <c r="H236" s="154"/>
      <c r="I236" s="154"/>
      <c r="J236" s="154"/>
      <c r="K236" s="155"/>
      <c r="L236" s="71"/>
      <c r="M236" s="95">
        <f t="shared" si="67"/>
      </c>
      <c r="N236" s="48">
        <f t="shared" si="68"/>
        <v>0</v>
      </c>
      <c r="O236" s="48">
        <f t="shared" si="58"/>
        <v>0</v>
      </c>
      <c r="P236" s="48">
        <f t="shared" si="69"/>
        <v>0</v>
      </c>
      <c r="Q236" s="48">
        <f t="shared" si="70"/>
        <v>0</v>
      </c>
      <c r="R236" s="48">
        <f t="shared" si="71"/>
        <v>0</v>
      </c>
      <c r="S236" s="48">
        <f t="shared" si="72"/>
        <v>0</v>
      </c>
      <c r="T236" s="72">
        <f>IF(E236="Freilos",3,IF(F236&gt;G236,3,0))</f>
        <v>0</v>
      </c>
      <c r="U236" s="72">
        <f t="shared" si="62"/>
        <v>0</v>
      </c>
      <c r="V236" s="60">
        <f>IF(Spielereingabe!F113="","",105)</f>
      </c>
      <c r="W236" s="61">
        <f>IF(SP128!V236="","",Spielereingabe!F113)</f>
      </c>
      <c r="X236" s="61">
        <f>IF(SP128!V236="","",Spielereingabe!G113)</f>
      </c>
      <c r="Y236" s="61">
        <f>IF(SP128!V236="","",Spielereingabe!H113)</f>
      </c>
      <c r="Z236" s="61">
        <f>IF(SP128!V236="","",Spielereingabe!I113)</f>
      </c>
      <c r="AA236" s="62">
        <f>IF(SP128!V236="","",SP128!X107)</f>
      </c>
      <c r="AB236" s="62">
        <f>IF(SP128!V236="","",SP128!Z107)</f>
      </c>
      <c r="AC236" s="62">
        <f>IF(SP128!V236="","",SP128!AA107)</f>
      </c>
      <c r="AD236" s="62">
        <f>IF(SP128!V236="","",SP128!AC107)</f>
      </c>
      <c r="AE236" s="62">
        <f>IF(SP128!V236="","",SP128!AD107)</f>
      </c>
      <c r="AF236" s="235">
        <f>IF(SP128!V236="","",SP128!AE107)</f>
      </c>
      <c r="AG236" s="238"/>
      <c r="AH236" s="239"/>
    </row>
    <row r="237" spans="3:34" ht="10.5" thickBot="1">
      <c r="C237" s="148">
        <v>235</v>
      </c>
      <c r="D237" s="153" t="str">
        <f>IF(D231="Sieger 213","Sieger 229",IF(E231="Verlierer 223","Sieger 229",IF(D231=E231,"Freilos",IF(E231="Freilos",D231,IF(D231="Freilos",E231,IF(F231&gt;G231,D231,IF(G231&gt;F231,E231,"Sieger 229")))))))</f>
        <v>Sieger 229</v>
      </c>
      <c r="E237" s="188" t="str">
        <f>IF(D232="Sieger 214","Sieger 230",IF(E232="Verlierer 224","Sieger 230",IF(D232=E232,"Freilos",IF(E232="Freilos",D232,IF(D232="Freilos",E232,IF(F232&gt;G232,D232,IF(G232&gt;F232,E232,"Sieger 230")))))))</f>
        <v>Sieger 230</v>
      </c>
      <c r="F237" s="128"/>
      <c r="G237" s="99"/>
      <c r="H237" s="154"/>
      <c r="I237" s="154"/>
      <c r="J237" s="154"/>
      <c r="K237" s="155"/>
      <c r="L237" s="71"/>
      <c r="M237" s="95">
        <f t="shared" si="67"/>
      </c>
      <c r="N237" s="48">
        <f t="shared" si="68"/>
        <v>0</v>
      </c>
      <c r="O237" s="48">
        <f t="shared" si="58"/>
        <v>0</v>
      </c>
      <c r="P237" s="48">
        <f t="shared" si="69"/>
        <v>0</v>
      </c>
      <c r="Q237" s="48">
        <f t="shared" si="70"/>
        <v>0</v>
      </c>
      <c r="R237" s="48">
        <f t="shared" si="71"/>
        <v>0</v>
      </c>
      <c r="S237" s="48">
        <f t="shared" si="72"/>
        <v>0</v>
      </c>
      <c r="T237" s="72">
        <f>IF(E237="Freilos",3,IF(F237&gt;G237,3,0))</f>
        <v>0</v>
      </c>
      <c r="U237" s="72">
        <f t="shared" si="62"/>
        <v>0</v>
      </c>
      <c r="V237" s="60">
        <f>IF(Spielereingabe!F114="","",106)</f>
      </c>
      <c r="W237" s="61">
        <f>IF(SP128!V237="","",Spielereingabe!F114)</f>
      </c>
      <c r="X237" s="61">
        <f>IF(SP128!V237="","",Spielereingabe!G114)</f>
      </c>
      <c r="Y237" s="61">
        <f>IF(SP128!V237="","",Spielereingabe!H114)</f>
      </c>
      <c r="Z237" s="61">
        <f>IF(SP128!V237="","",Spielereingabe!I114)</f>
      </c>
      <c r="AA237" s="62">
        <f>IF(SP128!V237="","",SP128!X108)</f>
      </c>
      <c r="AB237" s="62">
        <f>IF(SP128!V237="","",SP128!Z108)</f>
      </c>
      <c r="AC237" s="62">
        <f>IF(SP128!V237="","",SP128!AA108)</f>
      </c>
      <c r="AD237" s="62">
        <f>IF(SP128!V237="","",SP128!AC108)</f>
      </c>
      <c r="AE237" s="62">
        <f>IF(SP128!V237="","",SP128!AD108)</f>
      </c>
      <c r="AF237" s="235">
        <f>IF(SP128!V237="","",SP128!AE108)</f>
      </c>
      <c r="AG237" s="238"/>
      <c r="AH237" s="239"/>
    </row>
    <row r="238" spans="3:34" ht="10.5" thickBot="1">
      <c r="C238" s="148">
        <v>236</v>
      </c>
      <c r="D238" s="156" t="str">
        <f>IF(D233="Sieger 215","Sieger 231",IF(E233="Verlierer 221","Sieger 231",IF(D233=E233,"Freilos",IF(E233="Freilos",D233,IF(D233="Freilos",E233,IF(F233&gt;G233,D233,IF(G233&gt;F233,E233,"Sieger 231")))))))</f>
        <v>Sieger 231</v>
      </c>
      <c r="E238" s="189" t="str">
        <f>IF(D234="Sieger 216","Sieger 232",IF(E234="Verlierer 221","Sieger 232",IF(D234=E234,"Freilos",IF(E234="Freilos",D234,IF(D234="Freilos",E234,IF(F234&gt;G234,D234,IF(G234&gt;F234,E234,"Sieger 232")))))))</f>
        <v>Sieger 232</v>
      </c>
      <c r="F238" s="132"/>
      <c r="G238" s="105"/>
      <c r="H238" s="157"/>
      <c r="I238" s="157"/>
      <c r="J238" s="157"/>
      <c r="K238" s="158"/>
      <c r="L238" s="71"/>
      <c r="M238" s="95">
        <f t="shared" si="67"/>
      </c>
      <c r="N238" s="48">
        <f t="shared" si="68"/>
        <v>0</v>
      </c>
      <c r="O238" s="48">
        <f t="shared" si="58"/>
        <v>0</v>
      </c>
      <c r="P238" s="48">
        <f t="shared" si="69"/>
        <v>0</v>
      </c>
      <c r="Q238" s="48">
        <f t="shared" si="70"/>
        <v>0</v>
      </c>
      <c r="R238" s="48">
        <f t="shared" si="71"/>
        <v>0</v>
      </c>
      <c r="S238" s="48">
        <f t="shared" si="72"/>
        <v>0</v>
      </c>
      <c r="T238" s="72">
        <f>IF(E238="Freilos",3,IF(F238&gt;G238,3,0))</f>
        <v>0</v>
      </c>
      <c r="U238" s="72">
        <f t="shared" si="62"/>
        <v>0</v>
      </c>
      <c r="V238" s="60">
        <f>IF(Spielereingabe!F115="","",107)</f>
      </c>
      <c r="W238" s="61">
        <f>IF(SP128!V238="","",Spielereingabe!F115)</f>
      </c>
      <c r="X238" s="61">
        <f>IF(SP128!V238="","",Spielereingabe!G115)</f>
      </c>
      <c r="Y238" s="61">
        <f>IF(SP128!V238="","",Spielereingabe!H115)</f>
      </c>
      <c r="Z238" s="61">
        <f>IF(SP128!V238="","",Spielereingabe!I115)</f>
      </c>
      <c r="AA238" s="62">
        <f>IF(SP128!V238="","",SP128!X109)</f>
      </c>
      <c r="AB238" s="62">
        <f>IF(SP128!V238="","",SP128!Z109)</f>
      </c>
      <c r="AC238" s="62">
        <f>IF(SP128!V238="","",SP128!AA109)</f>
      </c>
      <c r="AD238" s="62">
        <f>IF(SP128!V238="","",SP128!AC109)</f>
      </c>
      <c r="AE238" s="62">
        <f>IF(SP128!V238="","",SP128!AD109)</f>
      </c>
      <c r="AF238" s="235">
        <f>IF(SP128!V238="","",SP128!AE109)</f>
      </c>
      <c r="AG238" s="238"/>
      <c r="AH238" s="239"/>
    </row>
    <row r="239" spans="2:34" ht="10.5" thickBot="1">
      <c r="B239" s="108" t="s">
        <v>46</v>
      </c>
      <c r="C239" s="148">
        <v>237</v>
      </c>
      <c r="D239" s="190" t="str">
        <f>IF(D219="Sieger 177","Sieger 217",IF(E219="Sieger 178","Sieger 217",IF(D219=E219,"Freilos",IF(E219="Freilos",D219,IF(D219="Freilos",E219,IF(F219&gt;G219,D219,IF(G219&gt;F219,E219,"Sieger 217")))))))</f>
        <v>Sieger 217</v>
      </c>
      <c r="E239" s="191" t="str">
        <f>IF(D220="Sieger 179","Sieger 218",IF(E220="Sieger 180","Sieger 218",IF(D220=E220,"Freilos",IF(E220="Freilos",D220,IF(D220="Freilos",E220,IF(F220&gt;G220,D220,IF(G220&gt;F220,E220,"Sieger 218")))))))</f>
        <v>Sieger 218</v>
      </c>
      <c r="F239" s="192"/>
      <c r="G239" s="193"/>
      <c r="H239" s="112"/>
      <c r="I239" s="112"/>
      <c r="J239" s="112"/>
      <c r="K239" s="193"/>
      <c r="L239" s="71"/>
      <c r="N239" s="48">
        <f t="shared" si="68"/>
        <v>0</v>
      </c>
      <c r="O239" s="48">
        <f t="shared" si="58"/>
        <v>0</v>
      </c>
      <c r="P239" s="48">
        <f t="shared" si="69"/>
        <v>0</v>
      </c>
      <c r="Q239" s="48">
        <f t="shared" si="70"/>
        <v>0</v>
      </c>
      <c r="R239" s="48">
        <f t="shared" si="71"/>
        <v>0</v>
      </c>
      <c r="S239" s="48">
        <f t="shared" si="72"/>
        <v>0</v>
      </c>
      <c r="T239" s="72">
        <f>IF(E239="Freilos",6,IF(F239&gt;G239,6,0))</f>
        <v>0</v>
      </c>
      <c r="U239" s="72">
        <f>IF(D239="Freilos",6,IF(G239&gt;F239,6,0))</f>
        <v>0</v>
      </c>
      <c r="V239" s="60">
        <f>IF(Spielereingabe!F116="","",108)</f>
      </c>
      <c r="W239" s="61">
        <f>IF(SP128!V239="","",Spielereingabe!F116)</f>
      </c>
      <c r="X239" s="61">
        <f>IF(SP128!V239="","",Spielereingabe!G116)</f>
      </c>
      <c r="Y239" s="61">
        <f>IF(SP128!V239="","",Spielereingabe!H116)</f>
      </c>
      <c r="Z239" s="61">
        <f>IF(SP128!V239="","",Spielereingabe!I116)</f>
      </c>
      <c r="AA239" s="62">
        <f>IF(SP128!V239="","",SP128!X110)</f>
      </c>
      <c r="AB239" s="62">
        <f>IF(SP128!V239="","",SP128!Z110)</f>
      </c>
      <c r="AC239" s="62">
        <f>IF(SP128!V239="","",SP128!AA110)</f>
      </c>
      <c r="AD239" s="62">
        <f>IF(SP128!V239="","",SP128!AC110)</f>
      </c>
      <c r="AE239" s="62">
        <f>IF(SP128!V239="","",SP128!AD110)</f>
      </c>
      <c r="AF239" s="235">
        <f>IF(SP128!V239="","",SP128!AE110)</f>
      </c>
      <c r="AG239" s="238"/>
      <c r="AH239" s="239"/>
    </row>
    <row r="240" spans="3:34" ht="10.5" thickBot="1">
      <c r="C240" s="148">
        <v>238</v>
      </c>
      <c r="D240" s="170" t="str">
        <f>IF(D221="Sieger 181","Sieger 219",IF(E221="Sieger 182","Sieger 219",IF(D221=E221,"Freilos",IF(E221="Freilos",D221,IF(D221="Freilos",E221,IF(F221&gt;G221,D221,IF(G221&gt;F221,E221,"Sieger 219")))))))</f>
        <v>Sieger 219</v>
      </c>
      <c r="E240" s="171" t="str">
        <f>IF(D222="Sieger 183","Sieger 220",IF(E222="Sieger 184","Sieger 220",IF(D222=E222,"Freilos",IF(E222="Freilos",D222,IF(D222="Freilos",E222,IF(F222&gt;G222,D222,IF(G222&gt;F222,E222,"Sieger 220")))))))</f>
        <v>Sieger 220</v>
      </c>
      <c r="F240" s="143"/>
      <c r="G240" s="172"/>
      <c r="H240" s="118"/>
      <c r="I240" s="118"/>
      <c r="J240" s="118"/>
      <c r="K240" s="172"/>
      <c r="L240" s="71"/>
      <c r="N240" s="48">
        <f t="shared" si="68"/>
        <v>0</v>
      </c>
      <c r="O240" s="48">
        <f t="shared" si="58"/>
        <v>0</v>
      </c>
      <c r="P240" s="48">
        <f t="shared" si="69"/>
        <v>0</v>
      </c>
      <c r="Q240" s="48">
        <f t="shared" si="70"/>
        <v>0</v>
      </c>
      <c r="R240" s="48">
        <f t="shared" si="71"/>
        <v>0</v>
      </c>
      <c r="S240" s="48">
        <f t="shared" si="72"/>
        <v>0</v>
      </c>
      <c r="T240" s="72">
        <f>IF(E240="Freilos",6,IF(F240&gt;G240,6,0))</f>
        <v>0</v>
      </c>
      <c r="U240" s="72">
        <f>IF(D240="Freilos",6,IF(G240&gt;F240,6,0))</f>
        <v>0</v>
      </c>
      <c r="V240" s="60">
        <f>IF(Spielereingabe!F117="","",109)</f>
      </c>
      <c r="W240" s="61">
        <f>IF(SP128!V240="","",Spielereingabe!F117)</f>
      </c>
      <c r="X240" s="61">
        <f>IF(SP128!V240="","",Spielereingabe!G117)</f>
      </c>
      <c r="Y240" s="61">
        <f>IF(SP128!V240="","",Spielereingabe!H117)</f>
      </c>
      <c r="Z240" s="61">
        <f>IF(SP128!V240="","",Spielereingabe!I117)</f>
      </c>
      <c r="AA240" s="62">
        <f>IF(SP128!V240="","",SP128!X111)</f>
      </c>
      <c r="AB240" s="62">
        <f>IF(SP128!V240="","",SP128!Z111)</f>
      </c>
      <c r="AC240" s="62">
        <f>IF(SP128!V240="","",SP128!AA111)</f>
      </c>
      <c r="AD240" s="62">
        <f>IF(SP128!V240="","",SP128!AC111)</f>
      </c>
      <c r="AE240" s="62">
        <f>IF(SP128!V240="","",SP128!AD111)</f>
      </c>
      <c r="AF240" s="235">
        <f>IF(SP128!V240="","",SP128!AE111)</f>
      </c>
      <c r="AG240" s="238"/>
      <c r="AH240" s="239"/>
    </row>
    <row r="241" spans="3:34" ht="10.5" thickBot="1">
      <c r="C241" s="148">
        <v>239</v>
      </c>
      <c r="D241" s="170" t="str">
        <f>IF(D223="Sieger 185","Sieger 221",IF(E223="Sieger 186","Sieger 221",IF(D223=E223,"Freilos",IF(E223="Freilos",D223,IF(D223="Freilos",E223,IF(F223&gt;G223,D223,IF(G223&gt;F223,E223,"Sieger 221")))))))</f>
        <v>Sieger 221</v>
      </c>
      <c r="E241" s="171" t="str">
        <f>IF(D224="Sieger 187","Sieger 222",IF(E224="Sieger 188","Sieger 222",IF(D224=E224,"Freilos",IF(E224="Freilos",D224,IF(D224="Freilos",E224,IF(F224&gt;G224,D224,IF(G224&gt;F224,E224,"Sieger 222")))))))</f>
        <v>Sieger 222</v>
      </c>
      <c r="F241" s="143"/>
      <c r="G241" s="172"/>
      <c r="H241" s="118"/>
      <c r="I241" s="118"/>
      <c r="J241" s="118"/>
      <c r="K241" s="172"/>
      <c r="L241" s="71"/>
      <c r="N241" s="48">
        <f t="shared" si="68"/>
        <v>0</v>
      </c>
      <c r="O241" s="48">
        <f t="shared" si="58"/>
        <v>0</v>
      </c>
      <c r="P241" s="48">
        <f t="shared" si="69"/>
        <v>0</v>
      </c>
      <c r="Q241" s="48">
        <f t="shared" si="70"/>
        <v>0</v>
      </c>
      <c r="R241" s="48">
        <f t="shared" si="71"/>
        <v>0</v>
      </c>
      <c r="S241" s="48">
        <f t="shared" si="72"/>
        <v>0</v>
      </c>
      <c r="T241" s="72">
        <f>IF(E241="Freilos",6,IF(F241&gt;G241,6,0))</f>
        <v>0</v>
      </c>
      <c r="U241" s="72">
        <f>IF(D241="Freilos",6,IF(G241&gt;F241,6,0))</f>
        <v>0</v>
      </c>
      <c r="V241" s="60">
        <f>IF(Spielereingabe!F118="","",110)</f>
      </c>
      <c r="W241" s="61">
        <f>IF(SP128!V241="","",Spielereingabe!F118)</f>
      </c>
      <c r="X241" s="61">
        <f>IF(SP128!V241="","",Spielereingabe!G118)</f>
      </c>
      <c r="Y241" s="61">
        <f>IF(SP128!V241="","",Spielereingabe!H118)</f>
      </c>
      <c r="Z241" s="61">
        <f>IF(SP128!V241="","",Spielereingabe!I118)</f>
      </c>
      <c r="AA241" s="62">
        <f>IF(SP128!V241="","",SP128!X112)</f>
      </c>
      <c r="AB241" s="62">
        <f>IF(SP128!V241="","",SP128!Z112)</f>
      </c>
      <c r="AC241" s="62">
        <f>IF(SP128!V241="","",SP128!AA112)</f>
      </c>
      <c r="AD241" s="62">
        <f>IF(SP128!V241="","",SP128!AC112)</f>
      </c>
      <c r="AE241" s="62">
        <f>IF(SP128!V241="","",SP128!AD112)</f>
      </c>
      <c r="AF241" s="235">
        <f>IF(SP128!V241="","",SP128!AE112)</f>
      </c>
      <c r="AG241" s="238"/>
      <c r="AH241" s="239"/>
    </row>
    <row r="242" spans="3:34" ht="10.5" thickBot="1">
      <c r="C242" s="148">
        <v>240</v>
      </c>
      <c r="D242" s="194" t="str">
        <f>IF(D225="Sieger 189","Sieger 223",IF(E225="Sieger 190","Sieger 223",IF(D225=E225,"Freilos",IF(E225="Freilos",D225,IF(D225="Freilos",E225,IF(F225&gt;G225,D225,IF(G225&gt;F225,E225,"Sieger 223")))))))</f>
        <v>Sieger 223</v>
      </c>
      <c r="E242" s="195" t="str">
        <f>IF(D226="Sieger 191","Sieger 224",IF(E226="Sieger 192","Sieger 224",IF(D226=E226,"Freilos",IF(E226="Freilos",D226,IF(D226="Freilos",E226,IF(F226&gt;G226,D226,IF(G226&gt;F226,E226,"Sieger 224")))))))</f>
        <v>Sieger 224</v>
      </c>
      <c r="F242" s="145"/>
      <c r="G242" s="196"/>
      <c r="H242" s="146"/>
      <c r="I242" s="146"/>
      <c r="J242" s="146"/>
      <c r="K242" s="196"/>
      <c r="L242" s="71"/>
      <c r="N242" s="48">
        <f t="shared" si="68"/>
        <v>0</v>
      </c>
      <c r="O242" s="48">
        <f t="shared" si="58"/>
        <v>0</v>
      </c>
      <c r="P242" s="48">
        <f t="shared" si="69"/>
        <v>0</v>
      </c>
      <c r="Q242" s="48">
        <f t="shared" si="70"/>
        <v>0</v>
      </c>
      <c r="R242" s="48">
        <f t="shared" si="71"/>
        <v>0</v>
      </c>
      <c r="S242" s="48">
        <f t="shared" si="72"/>
        <v>0</v>
      </c>
      <c r="T242" s="72">
        <f>IF(E242="Freilos",6,IF(F242&gt;G242,6,0))</f>
        <v>0</v>
      </c>
      <c r="U242" s="72">
        <f>IF(D242="Freilos",6,IF(G242&gt;F242,6,0))</f>
        <v>0</v>
      </c>
      <c r="V242" s="60">
        <f>IF(Spielereingabe!F119="","",111)</f>
      </c>
      <c r="W242" s="61">
        <f>IF(SP128!V242="","",Spielereingabe!F119)</f>
      </c>
      <c r="X242" s="61">
        <f>IF(SP128!V242="","",Spielereingabe!G119)</f>
      </c>
      <c r="Y242" s="61">
        <f>IF(SP128!V242="","",Spielereingabe!H119)</f>
      </c>
      <c r="Z242" s="61">
        <f>IF(SP128!V242="","",Spielereingabe!I119)</f>
      </c>
      <c r="AA242" s="62">
        <f>IF(SP128!V242="","",SP128!X113)</f>
      </c>
      <c r="AB242" s="62">
        <f>IF(SP128!V242="","",SP128!Z113)</f>
      </c>
      <c r="AC242" s="62">
        <f>IF(SP128!V242="","",SP128!AA113)</f>
      </c>
      <c r="AD242" s="62">
        <f>IF(SP128!V242="","",SP128!AC113)</f>
      </c>
      <c r="AE242" s="62">
        <f>IF(SP128!V242="","",SP128!AD113)</f>
      </c>
      <c r="AF242" s="235">
        <f>IF(SP128!V242="","",SP128!AE113)</f>
      </c>
      <c r="AG242" s="238"/>
      <c r="AH242" s="239"/>
    </row>
    <row r="243" spans="2:34" ht="10.5" thickBot="1">
      <c r="B243" s="88" t="s">
        <v>45</v>
      </c>
      <c r="C243" s="148">
        <v>241</v>
      </c>
      <c r="D243" s="149" t="str">
        <f>IF(D235="Sieger 225","Sieger 233",IF(E235="Sieger 226","Sieger 233",IF(D235=E235,"Freilos",IF(E235="Freilos",D235,IF(D235="Freilos",E235,IF(F235&gt;G235,D235,IF(G235&gt;F235,E235,"Sieger 233")))))))</f>
        <v>Sieger 233</v>
      </c>
      <c r="E243" s="187" t="str">
        <f>IF(D240="Sieger 219","Verlierer 238",IF(E240="Sieger 220","Verlierer 238",IF(D240=E240,"Freilos",IF(E240="Freilos",E240,IF(D240="Freilos",D240,IF(F240&gt;G240,E240,IF(G240&gt;F240,D240,"Verlierer 238")))))))</f>
        <v>Verlierer 238</v>
      </c>
      <c r="F243" s="123"/>
      <c r="G243" s="161"/>
      <c r="H243" s="162"/>
      <c r="I243" s="162"/>
      <c r="J243" s="162"/>
      <c r="K243" s="197"/>
      <c r="L243" s="71"/>
      <c r="M243" s="95">
        <f aca="true" t="shared" si="73" ref="M243:M248">IF(F243&gt;G243,E243,IF(G243&gt;F243,D243,""))</f>
      </c>
      <c r="N243" s="48">
        <f t="shared" si="68"/>
        <v>0</v>
      </c>
      <c r="O243" s="48">
        <f t="shared" si="58"/>
        <v>0</v>
      </c>
      <c r="P243" s="48">
        <f t="shared" si="69"/>
        <v>0</v>
      </c>
      <c r="Q243" s="48">
        <f t="shared" si="70"/>
        <v>0</v>
      </c>
      <c r="R243" s="48">
        <f t="shared" si="71"/>
        <v>0</v>
      </c>
      <c r="S243" s="48">
        <f t="shared" si="72"/>
        <v>0</v>
      </c>
      <c r="T243" s="72">
        <f>IF(E244="Freilos",3,IF(F243&gt;G243,3,0))</f>
        <v>0</v>
      </c>
      <c r="U243" s="72">
        <f t="shared" si="62"/>
        <v>0</v>
      </c>
      <c r="V243" s="60">
        <f>IF(Spielereingabe!F120="","",112)</f>
      </c>
      <c r="W243" s="61">
        <f>IF(SP128!V243="","",Spielereingabe!F120)</f>
      </c>
      <c r="X243" s="61">
        <f>IF(SP128!V243="","",Spielereingabe!G120)</f>
      </c>
      <c r="Y243" s="61">
        <f>IF(SP128!V243="","",Spielereingabe!H120)</f>
      </c>
      <c r="Z243" s="61">
        <f>IF(SP128!V243="","",Spielereingabe!I120)</f>
      </c>
      <c r="AA243" s="62">
        <f>IF(SP128!V243="","",SP128!X114)</f>
      </c>
      <c r="AB243" s="62">
        <f>IF(SP128!V243="","",SP128!Z114)</f>
      </c>
      <c r="AC243" s="62">
        <f>IF(SP128!V243="","",SP128!AA114)</f>
      </c>
      <c r="AD243" s="62">
        <f>IF(SP128!V243="","",SP128!AC114)</f>
      </c>
      <c r="AE243" s="62">
        <f>IF(SP128!V243="","",SP128!AD114)</f>
      </c>
      <c r="AF243" s="235">
        <f>IF(SP128!V243="","",SP128!AE114)</f>
      </c>
      <c r="AG243" s="238"/>
      <c r="AH243" s="239"/>
    </row>
    <row r="244" spans="3:34" ht="10.5" thickBot="1">
      <c r="C244" s="148">
        <v>242</v>
      </c>
      <c r="D244" s="153" t="str">
        <f>IF(D236="Sieger 227","Sieger 234",IF(E236="Sieger 228","Sieger 234",IF(D236=E236,"Freilos",IF(E236="Freilos",D236,IF(D236="Freilos",E236,IF(F236&gt;G236,D236,IF(G236&gt;F236,E236,"Sieger 234")))))))</f>
        <v>Sieger 234</v>
      </c>
      <c r="E244" s="188" t="str">
        <f>IF(D239="Sieger 217","Verlierer 237",IF(E239="Sieger 218","Verlierer 237",IF(D239=E239,"Freilos",IF(E239="Freilos",E239,IF(D239="Freilos",D239,IF(F239&gt;G239,E239,IF(G239&gt;F239,D239,"Verlierer 237")))))))</f>
        <v>Verlierer 237</v>
      </c>
      <c r="F244" s="128"/>
      <c r="G244" s="164"/>
      <c r="H244" s="154"/>
      <c r="I244" s="154"/>
      <c r="J244" s="154"/>
      <c r="K244" s="198"/>
      <c r="L244" s="71"/>
      <c r="M244" s="95">
        <f t="shared" si="73"/>
      </c>
      <c r="N244" s="48">
        <f t="shared" si="68"/>
        <v>0</v>
      </c>
      <c r="O244" s="48">
        <f t="shared" si="58"/>
        <v>0</v>
      </c>
      <c r="P244" s="48">
        <f t="shared" si="69"/>
        <v>0</v>
      </c>
      <c r="Q244" s="48">
        <f t="shared" si="70"/>
        <v>0</v>
      </c>
      <c r="R244" s="48">
        <f t="shared" si="71"/>
        <v>0</v>
      </c>
      <c r="S244" s="48">
        <f t="shared" si="72"/>
        <v>0</v>
      </c>
      <c r="T244" s="72">
        <f>IF(E243="Freilos",3,IF(F244&gt;G244,3,0))</f>
        <v>0</v>
      </c>
      <c r="U244" s="72">
        <f t="shared" si="62"/>
        <v>0</v>
      </c>
      <c r="V244" s="60">
        <f>IF(Spielereingabe!F121="","",113)</f>
      </c>
      <c r="W244" s="61">
        <f>IF(SP128!V244="","",Spielereingabe!F121)</f>
      </c>
      <c r="X244" s="61">
        <f>IF(SP128!V244="","",Spielereingabe!G121)</f>
      </c>
      <c r="Y244" s="61">
        <f>IF(SP128!V244="","",Spielereingabe!H121)</f>
      </c>
      <c r="Z244" s="61">
        <f>IF(SP128!V244="","",Spielereingabe!I121)</f>
      </c>
      <c r="AA244" s="62">
        <f>IF(SP128!V244="","",SP128!X115)</f>
      </c>
      <c r="AB244" s="62">
        <f>IF(SP128!V244="","",SP128!Z115)</f>
      </c>
      <c r="AC244" s="62">
        <f>IF(SP128!V244="","",SP128!AA115)</f>
      </c>
      <c r="AD244" s="62">
        <f>IF(SP128!V244="","",SP128!AC115)</f>
      </c>
      <c r="AE244" s="62">
        <f>IF(SP128!V244="","",SP128!AD115)</f>
      </c>
      <c r="AF244" s="235">
        <f>IF(SP128!V244="","",SP128!AE115)</f>
      </c>
      <c r="AG244" s="238"/>
      <c r="AH244" s="239"/>
    </row>
    <row r="245" spans="3:34" ht="10.5" thickBot="1">
      <c r="C245" s="148">
        <v>243</v>
      </c>
      <c r="D245" s="153" t="str">
        <f>IF(D237="Sieger 229","Sieger 235",IF(E237="Sieger 230","Sieger 235",IF(D237=E237,"Freilos",IF(E237="Freilos",D237,IF(D237="Freilos",E237,IF(F237&gt;G237,D237,IF(G237&gt;F237,E237,"Sieger 235")))))))</f>
        <v>Sieger 235</v>
      </c>
      <c r="E245" s="188" t="str">
        <f>IF(D242="Sieger 223","Verlierer 240",IF(E242="Sieger 224","Verlierer 240",IF(D242=E242,"Freilos",IF(E242="Freilos",E242,IF(D242="Freilos",D242,IF(F242&gt;G242,E242,IF(G242&gt;F242,D242,"Verlierer 240")))))))</f>
        <v>Verlierer 240</v>
      </c>
      <c r="F245" s="128"/>
      <c r="G245" s="164"/>
      <c r="H245" s="154"/>
      <c r="I245" s="154"/>
      <c r="J245" s="154"/>
      <c r="K245" s="198"/>
      <c r="L245" s="71"/>
      <c r="M245" s="95">
        <f t="shared" si="73"/>
      </c>
      <c r="N245" s="48">
        <f t="shared" si="68"/>
        <v>0</v>
      </c>
      <c r="O245" s="48">
        <f t="shared" si="58"/>
        <v>0</v>
      </c>
      <c r="P245" s="48">
        <f t="shared" si="69"/>
        <v>0</v>
      </c>
      <c r="Q245" s="48">
        <f t="shared" si="70"/>
        <v>0</v>
      </c>
      <c r="R245" s="48">
        <f t="shared" si="71"/>
        <v>0</v>
      </c>
      <c r="S245" s="48">
        <f t="shared" si="72"/>
        <v>0</v>
      </c>
      <c r="T245" s="72">
        <f>IF(E246="Freilos",3,IF(F245&gt;G245,3,0))</f>
        <v>0</v>
      </c>
      <c r="U245" s="72">
        <f t="shared" si="62"/>
        <v>0</v>
      </c>
      <c r="V245" s="60">
        <f>IF(Spielereingabe!F122="","",114)</f>
      </c>
      <c r="W245" s="61">
        <f>IF(SP128!V245="","",Spielereingabe!F122)</f>
      </c>
      <c r="X245" s="61">
        <f>IF(SP128!V245="","",Spielereingabe!G122)</f>
      </c>
      <c r="Y245" s="61">
        <f>IF(SP128!V245="","",Spielereingabe!H122)</f>
      </c>
      <c r="Z245" s="61">
        <f>IF(SP128!V245="","",Spielereingabe!I122)</f>
      </c>
      <c r="AA245" s="62">
        <f>IF(SP128!V245="","",SP128!X116)</f>
      </c>
      <c r="AB245" s="62">
        <f>IF(SP128!V245="","",SP128!Z116)</f>
      </c>
      <c r="AC245" s="62">
        <f>IF(SP128!V245="","",SP128!AA116)</f>
      </c>
      <c r="AD245" s="62">
        <f>IF(SP128!V245="","",SP128!AC116)</f>
      </c>
      <c r="AE245" s="62">
        <f>IF(SP128!V245="","",SP128!AD116)</f>
      </c>
      <c r="AF245" s="235">
        <f>IF(SP128!V245="","",SP128!AE116)</f>
      </c>
      <c r="AG245" s="238"/>
      <c r="AH245" s="239"/>
    </row>
    <row r="246" spans="3:34" ht="10.5" thickBot="1">
      <c r="C246" s="148">
        <v>244</v>
      </c>
      <c r="D246" s="156" t="str">
        <f>IF(D238="Sieger 231","Sieger 236",IF(E238="Sieger 232","Sieger 236",IF(D238=E238,"Freilos",IF(E238="Freilos",D238,IF(D238="Freilos",E238,IF(F238&gt;G238,D238,IF(G238&gt;F238,E238,"Sieger 236")))))))</f>
        <v>Sieger 236</v>
      </c>
      <c r="E246" s="189" t="str">
        <f>IF(D241="Sieger 221","Verlierer 239",IF(E241="Sieger 222","Verlierer 239",IF(D241=E241,"Freilos",IF(E241="Freilos",E241,IF(D241="Freilos",D241,IF(F241&gt;G241,E241,IF(G241&gt;F241,D241,"Verlierer 239")))))))</f>
        <v>Verlierer 239</v>
      </c>
      <c r="F246" s="132"/>
      <c r="G246" s="165"/>
      <c r="H246" s="157"/>
      <c r="I246" s="157"/>
      <c r="J246" s="157"/>
      <c r="K246" s="199"/>
      <c r="L246" s="71"/>
      <c r="M246" s="95">
        <f t="shared" si="73"/>
      </c>
      <c r="N246" s="48">
        <f t="shared" si="68"/>
        <v>0</v>
      </c>
      <c r="O246" s="48">
        <f t="shared" si="58"/>
        <v>0</v>
      </c>
      <c r="P246" s="48">
        <f t="shared" si="69"/>
        <v>0</v>
      </c>
      <c r="Q246" s="48">
        <f t="shared" si="70"/>
        <v>0</v>
      </c>
      <c r="R246" s="48">
        <f t="shared" si="71"/>
        <v>0</v>
      </c>
      <c r="S246" s="48">
        <f t="shared" si="72"/>
        <v>0</v>
      </c>
      <c r="T246" s="72">
        <f>IF(E245="Freilos",3,IF(F246&gt;G246,3,0))</f>
        <v>0</v>
      </c>
      <c r="U246" s="72">
        <f t="shared" si="62"/>
        <v>0</v>
      </c>
      <c r="V246" s="60">
        <f>IF(Spielereingabe!F123="","",115)</f>
      </c>
      <c r="W246" s="61">
        <f>IF(SP128!V246="","",Spielereingabe!F123)</f>
      </c>
      <c r="X246" s="61">
        <f>IF(SP128!V246="","",Spielereingabe!G123)</f>
      </c>
      <c r="Y246" s="61">
        <f>IF(SP128!V246="","",Spielereingabe!H123)</f>
      </c>
      <c r="Z246" s="61">
        <f>IF(SP128!V246="","",Spielereingabe!I123)</f>
      </c>
      <c r="AA246" s="62">
        <f>IF(SP128!V246="","",SP128!X117)</f>
      </c>
      <c r="AB246" s="62">
        <f>IF(SP128!V246="","",SP128!Z117)</f>
      </c>
      <c r="AC246" s="62">
        <f>IF(SP128!V246="","",SP128!AA117)</f>
      </c>
      <c r="AD246" s="62">
        <f>IF(SP128!V246="","",SP128!AC117)</f>
      </c>
      <c r="AE246" s="62">
        <f>IF(SP128!V246="","",SP128!AD117)</f>
      </c>
      <c r="AF246" s="235">
        <f>IF(SP128!V246="","",SP128!AE117)</f>
      </c>
      <c r="AG246" s="238"/>
      <c r="AH246" s="239"/>
    </row>
    <row r="247" spans="2:34" ht="10.5" thickBot="1">
      <c r="B247" s="88" t="s">
        <v>48</v>
      </c>
      <c r="C247" s="148">
        <v>245</v>
      </c>
      <c r="D247" s="159" t="str">
        <f>IF(D243="Sieger 233","Sieger 241",IF(E243="Verlierer 238","Sieger 241",IF(D243=E243,"Freilos",IF(E243="Freilos",D243,IF(D243="Freilos",E243,IF(F243&gt;G243,D243,IF(G243&gt;F243,E243,"Sieger 241")))))))</f>
        <v>Sieger 241</v>
      </c>
      <c r="E247" s="160" t="str">
        <f>IF(D244="Sieger 234","Sieger 242",IF(E244="Verlierer 237","Sieger 242",IF(D244=E244,"Freilos",IF(E244="Freilos",D244,IF(D244="Freilos",E244,IF(F244&gt;G244,D244,IF(G244&gt;F244,E244,"Sieger 242")))))))</f>
        <v>Sieger 242</v>
      </c>
      <c r="F247" s="123"/>
      <c r="G247" s="161"/>
      <c r="H247" s="162"/>
      <c r="I247" s="162"/>
      <c r="J247" s="162"/>
      <c r="K247" s="197"/>
      <c r="L247" s="71"/>
      <c r="M247" s="95">
        <f t="shared" si="73"/>
      </c>
      <c r="N247" s="48">
        <f t="shared" si="57"/>
        <v>0</v>
      </c>
      <c r="O247" s="48">
        <f t="shared" si="58"/>
        <v>0</v>
      </c>
      <c r="P247" s="48">
        <f t="shared" si="59"/>
        <v>0</v>
      </c>
      <c r="Q247" s="48">
        <f t="shared" si="63"/>
        <v>0</v>
      </c>
      <c r="R247" s="48">
        <f t="shared" si="60"/>
        <v>0</v>
      </c>
      <c r="S247" s="48">
        <f t="shared" si="61"/>
        <v>0</v>
      </c>
      <c r="T247" s="72">
        <f>IF(E247="Freilos",3,IF(F247&gt;G247,3,0))</f>
        <v>0</v>
      </c>
      <c r="U247" s="72">
        <f t="shared" si="62"/>
        <v>0</v>
      </c>
      <c r="V247" s="60">
        <f>IF(Spielereingabe!F124="","",116)</f>
      </c>
      <c r="W247" s="61">
        <f>IF(SP128!V247="","",Spielereingabe!F124)</f>
      </c>
      <c r="X247" s="61">
        <f>IF(SP128!V247="","",Spielereingabe!G124)</f>
      </c>
      <c r="Y247" s="61">
        <f>IF(SP128!V247="","",Spielereingabe!H124)</f>
      </c>
      <c r="Z247" s="61">
        <f>IF(SP128!V247="","",Spielereingabe!I124)</f>
      </c>
      <c r="AA247" s="62">
        <f>IF(SP128!V247="","",SP128!X118)</f>
      </c>
      <c r="AB247" s="62">
        <f>IF(SP128!V247="","",SP128!Z118)</f>
      </c>
      <c r="AC247" s="62">
        <f>IF(SP128!V247="","",SP128!AA118)</f>
      </c>
      <c r="AD247" s="62">
        <f>IF(SP128!V247="","",SP128!AC118)</f>
      </c>
      <c r="AE247" s="62">
        <f>IF(SP128!V247="","",SP128!AD118)</f>
      </c>
      <c r="AF247" s="235">
        <f>IF(SP128!V247="","",SP128!AE118)</f>
      </c>
      <c r="AG247" s="238"/>
      <c r="AH247" s="239"/>
    </row>
    <row r="248" spans="3:34" ht="10.5" thickBot="1">
      <c r="C248" s="148">
        <v>246</v>
      </c>
      <c r="D248" s="159" t="str">
        <f>IF(D245="Sieger 235","Sieger 243",IF(E245="Verlierer 240","Sieger 243",IF(D245=E245,"Freilos",IF(E245="Freilos",D245,IF(D245="Freilos",E245,IF(F245&gt;G245,D245,IF(G245&gt;F245,E245,"Sieger 243")))))))</f>
        <v>Sieger 243</v>
      </c>
      <c r="E248" s="160" t="str">
        <f>IF(D246="Sieger 236","Sieger 244",IF(E246="Verlierer 239","Sieger 244",IF(D246=E246,"Freilos",IF(E246="Freilos",D246,IF(D246="Freilos",E246,IF(F246&gt;G246,D246,IF(G246&gt;F246,E246,"Sieger 244")))))))</f>
        <v>Sieger 244</v>
      </c>
      <c r="F248" s="132"/>
      <c r="G248" s="165"/>
      <c r="H248" s="157"/>
      <c r="I248" s="157"/>
      <c r="J248" s="157"/>
      <c r="K248" s="199"/>
      <c r="L248" s="71"/>
      <c r="M248" s="95">
        <f t="shared" si="73"/>
      </c>
      <c r="N248" s="48">
        <f t="shared" si="57"/>
        <v>0</v>
      </c>
      <c r="O248" s="48">
        <f t="shared" si="58"/>
        <v>0</v>
      </c>
      <c r="P248" s="48">
        <f t="shared" si="59"/>
        <v>0</v>
      </c>
      <c r="Q248" s="48">
        <f t="shared" si="63"/>
        <v>0</v>
      </c>
      <c r="R248" s="48">
        <f t="shared" si="60"/>
        <v>0</v>
      </c>
      <c r="S248" s="48">
        <f t="shared" si="61"/>
        <v>0</v>
      </c>
      <c r="T248" s="72">
        <f>IF(E248="Freilos",3,IF(F248&gt;G248,3,0))</f>
        <v>0</v>
      </c>
      <c r="U248" s="72">
        <f t="shared" si="62"/>
        <v>0</v>
      </c>
      <c r="V248" s="60">
        <f>IF(Spielereingabe!F125="","",117)</f>
      </c>
      <c r="W248" s="61">
        <f>IF(SP128!V248="","",Spielereingabe!F125)</f>
      </c>
      <c r="X248" s="61">
        <f>IF(SP128!V248="","",Spielereingabe!G125)</f>
      </c>
      <c r="Y248" s="61">
        <f>IF(SP128!V248="","",Spielereingabe!H125)</f>
      </c>
      <c r="Z248" s="61">
        <f>IF(SP128!V248="","",Spielereingabe!I125)</f>
      </c>
      <c r="AA248" s="62">
        <f>IF(SP128!V248="","",SP128!X119)</f>
      </c>
      <c r="AB248" s="62">
        <f>IF(SP128!V248="","",SP128!Z119)</f>
      </c>
      <c r="AC248" s="62">
        <f>IF(SP128!V248="","",SP128!AA119)</f>
      </c>
      <c r="AD248" s="62">
        <f>IF(SP128!V248="","",SP128!AC119)</f>
      </c>
      <c r="AE248" s="62">
        <f>IF(SP128!V248="","",SP128!AD119)</f>
      </c>
      <c r="AF248" s="235">
        <f>IF(SP128!V248="","",SP128!AE119)</f>
      </c>
      <c r="AG248" s="238"/>
      <c r="AH248" s="239"/>
    </row>
    <row r="249" spans="2:34" ht="10.5" thickBot="1">
      <c r="B249" s="108" t="s">
        <v>49</v>
      </c>
      <c r="C249" s="148">
        <v>247</v>
      </c>
      <c r="D249" s="166" t="str">
        <f>IF(D239="Sieger 217","Sieger 237",IF(E239="Sieger 218","Sieger 237",IF(D239=E239,"Freilos",IF(E239="Freilos",D239,IF(D239="Freilos",E239,IF(F239&gt;G239,D239,IF(G239&gt;F239,E239,"Sieger 237")))))))</f>
        <v>Sieger 237</v>
      </c>
      <c r="E249" s="167" t="str">
        <f>IF(D240="Sieger 219","Sieger 238",IF(E240="Sieger 220","Sieger 238",IF(D240=E240,"Freilos",IF(E240="Freilos",D240,IF(D240="Freilos",E240,IF(F240&gt;G240,D240,IF(G240&gt;F240,E240,"Sieger 238")))))))</f>
        <v>Sieger 238</v>
      </c>
      <c r="F249" s="139"/>
      <c r="G249" s="168"/>
      <c r="H249" s="140"/>
      <c r="I249" s="140"/>
      <c r="J249" s="140"/>
      <c r="K249" s="168"/>
      <c r="L249" s="71"/>
      <c r="N249" s="48">
        <f t="shared" si="57"/>
        <v>0</v>
      </c>
      <c r="O249" s="48">
        <f t="shared" si="58"/>
        <v>0</v>
      </c>
      <c r="P249" s="48">
        <f t="shared" si="59"/>
        <v>0</v>
      </c>
      <c r="Q249" s="48">
        <f t="shared" si="63"/>
        <v>0</v>
      </c>
      <c r="R249" s="48">
        <f t="shared" si="60"/>
        <v>0</v>
      </c>
      <c r="S249" s="48">
        <f t="shared" si="61"/>
        <v>0</v>
      </c>
      <c r="T249" s="72">
        <f>IF(E249="Freilos",6,IF(F249&gt;G249,6,0))</f>
        <v>0</v>
      </c>
      <c r="U249" s="72">
        <f>IF(D249="Freilos",6,IF(G249&gt;F249,6,0))</f>
        <v>0</v>
      </c>
      <c r="V249" s="60">
        <f>IF(Spielereingabe!F126="","",118)</f>
      </c>
      <c r="W249" s="61">
        <f>IF(SP128!V249="","",Spielereingabe!F126)</f>
      </c>
      <c r="X249" s="61">
        <f>IF(SP128!V249="","",Spielereingabe!G126)</f>
      </c>
      <c r="Y249" s="61">
        <f>IF(SP128!V249="","",Spielereingabe!H126)</f>
      </c>
      <c r="Z249" s="61">
        <f>IF(SP128!V249="","",Spielereingabe!I126)</f>
      </c>
      <c r="AA249" s="62">
        <f>IF(SP128!V249="","",SP128!X120)</f>
      </c>
      <c r="AB249" s="62">
        <f>IF(SP128!V249="","",SP128!Z120)</f>
      </c>
      <c r="AC249" s="62">
        <f>IF(SP128!V249="","",SP128!AA120)</f>
      </c>
      <c r="AD249" s="62">
        <f>IF(SP128!V249="","",SP128!AC120)</f>
      </c>
      <c r="AE249" s="62">
        <f>IF(SP128!V249="","",SP128!AD120)</f>
      </c>
      <c r="AF249" s="235">
        <f>IF(SP128!V249="","",SP128!AE120)</f>
      </c>
      <c r="AG249" s="238"/>
      <c r="AH249" s="239"/>
    </row>
    <row r="250" spans="3:34" ht="10.5" thickBot="1">
      <c r="C250" s="148">
        <v>248</v>
      </c>
      <c r="D250" s="194" t="str">
        <f>IF(D241="Sieger 221","Sieger 239",IF(E241="Sieger 222","Sieger 239",IF(D241=E241,"Freilos",IF(E241="Freilos",D241,IF(D241="Freilos",E241,IF(F241&gt;G241,D241,IF(G241&gt;F241,E241,"Sieger 239")))))))</f>
        <v>Sieger 239</v>
      </c>
      <c r="E250" s="195" t="str">
        <f>IF(D242="Sieger 223","Sieger 240",IF(E242="Sieger 224","Sieger 240",IF(D242=E242,"Freilos",IF(E242="Freilos",D242,IF(D242="Freilos",E242,IF(F242&gt;G242,D242,IF(G242&gt;F242,E242,"Sieger 240")))))))</f>
        <v>Sieger 240</v>
      </c>
      <c r="F250" s="145"/>
      <c r="G250" s="196"/>
      <c r="H250" s="146"/>
      <c r="I250" s="146"/>
      <c r="J250" s="146"/>
      <c r="K250" s="196"/>
      <c r="L250" s="71"/>
      <c r="N250" s="48">
        <f t="shared" si="57"/>
        <v>0</v>
      </c>
      <c r="O250" s="48">
        <f t="shared" si="58"/>
        <v>0</v>
      </c>
      <c r="P250" s="48">
        <f t="shared" si="59"/>
        <v>0</v>
      </c>
      <c r="Q250" s="48">
        <f t="shared" si="63"/>
        <v>0</v>
      </c>
      <c r="R250" s="48">
        <f t="shared" si="60"/>
        <v>0</v>
      </c>
      <c r="S250" s="48">
        <f t="shared" si="61"/>
        <v>0</v>
      </c>
      <c r="T250" s="72">
        <f>IF(E250="Freilos",6,IF(F250&gt;G250,6,0))</f>
        <v>0</v>
      </c>
      <c r="U250" s="72">
        <f>IF(D250="Freilos",6,IF(G250&gt;F250,6,0))</f>
        <v>0</v>
      </c>
      <c r="V250" s="60">
        <f>IF(Spielereingabe!F127="","",119)</f>
      </c>
      <c r="W250" s="61">
        <f>IF(SP128!V250="","",Spielereingabe!F127)</f>
      </c>
      <c r="X250" s="61">
        <f>IF(SP128!V250="","",Spielereingabe!G127)</f>
      </c>
      <c r="Y250" s="61">
        <f>IF(SP128!V250="","",Spielereingabe!H127)</f>
      </c>
      <c r="Z250" s="61">
        <f>IF(SP128!V250="","",Spielereingabe!I127)</f>
      </c>
      <c r="AA250" s="62">
        <f>IF(SP128!V250="","",SP128!X121)</f>
      </c>
      <c r="AB250" s="62">
        <f>IF(SP128!V250="","",SP128!Z121)</f>
      </c>
      <c r="AC250" s="62">
        <f>IF(SP128!V250="","",SP128!AA121)</f>
      </c>
      <c r="AD250" s="62">
        <f>IF(SP128!V250="","",SP128!AC121)</f>
      </c>
      <c r="AE250" s="62">
        <f>IF(SP128!V250="","",SP128!AD121)</f>
      </c>
      <c r="AF250" s="235">
        <f>IF(SP128!V250="","",SP128!AE121)</f>
      </c>
      <c r="AG250" s="238"/>
      <c r="AH250" s="239"/>
    </row>
    <row r="251" spans="2:34" ht="10.5" thickBot="1">
      <c r="B251" s="88" t="s">
        <v>50</v>
      </c>
      <c r="C251" s="148">
        <v>249</v>
      </c>
      <c r="D251" s="149" t="str">
        <f>IF(D247="Sieger 241","Sieger 245",IF(E247="Sieger 242","Sieger 245",IF(D247=E247,"Freilos",IF(E247="Freilos",D247,IF(D247="Freilos",E247,IF(F247&gt;G247,D247,IF(G247&gt;F247,E247,"Sieger 245")))))))</f>
        <v>Sieger 245</v>
      </c>
      <c r="E251" s="187" t="str">
        <f>IF(D249="Sieger 237","Verlierer 247",IF(E249="Sieger 238","Verlierer 247",IF(D249=E249,"Freilos",IF(E249="Freilos",E249,IF(D249="Freilos",D249,IF(F249&gt;G249,E249,IF(G249&gt;F249,D249,"Verlierer 247")))))))</f>
        <v>Verlierer 247</v>
      </c>
      <c r="F251" s="123"/>
      <c r="G251" s="161"/>
      <c r="H251" s="162"/>
      <c r="I251" s="162"/>
      <c r="J251" s="162"/>
      <c r="K251" s="197"/>
      <c r="L251" s="71"/>
      <c r="M251" s="95">
        <f>IF(F251&gt;G251,E251,IF(G251&gt;F251,D251,""))</f>
      </c>
      <c r="N251" s="48">
        <f t="shared" si="57"/>
        <v>0</v>
      </c>
      <c r="O251" s="48">
        <f t="shared" si="58"/>
        <v>0</v>
      </c>
      <c r="P251" s="48">
        <f>IF(D252="Freilos",0,IF(F251&lt;G251,1,IF(F251&gt;G251,1,0)))</f>
        <v>0</v>
      </c>
      <c r="Q251" s="48">
        <f>IF(D252="Freilos",0,IF(F251&lt;G251,1,IF(F251&gt;G251,1,0)))</f>
        <v>0</v>
      </c>
      <c r="R251" s="48">
        <f>IF(D252="Freilos",0,IF(F251&gt;G251,1,0))</f>
        <v>0</v>
      </c>
      <c r="S251" s="48">
        <f>IF(D252="Freilos",0,IF(G251&gt;F251,1,0))</f>
        <v>0</v>
      </c>
      <c r="T251" s="72">
        <f>IF(E251="Freilos",3,IF(F251&gt;G251,3,0))</f>
        <v>0</v>
      </c>
      <c r="U251" s="72">
        <f>IF(D252="Freilos",3,IF(G251&gt;F251,3,0))</f>
        <v>0</v>
      </c>
      <c r="V251" s="60">
        <f>IF(Spielereingabe!F128="","",120)</f>
      </c>
      <c r="W251" s="61">
        <f>IF(SP128!V251="","",Spielereingabe!F128)</f>
      </c>
      <c r="X251" s="61">
        <f>IF(SP128!V251="","",Spielereingabe!G128)</f>
      </c>
      <c r="Y251" s="61">
        <f>IF(SP128!V251="","",Spielereingabe!H128)</f>
      </c>
      <c r="Z251" s="61">
        <f>IF(SP128!V251="","",Spielereingabe!I128)</f>
      </c>
      <c r="AA251" s="62">
        <f>IF(SP128!V251="","",SP128!X122)</f>
      </c>
      <c r="AB251" s="62">
        <f>IF(SP128!V251="","",SP128!Z122)</f>
      </c>
      <c r="AC251" s="62">
        <f>IF(SP128!V251="","",SP128!AA122)</f>
      </c>
      <c r="AD251" s="62">
        <f>IF(SP128!V251="","",SP128!AC122)</f>
      </c>
      <c r="AE251" s="62">
        <f>IF(SP128!V251="","",SP128!AD122)</f>
      </c>
      <c r="AF251" s="235">
        <f>IF(SP128!V251="","",SP128!AE122)</f>
      </c>
      <c r="AG251" s="238"/>
      <c r="AH251" s="239"/>
    </row>
    <row r="252" spans="3:34" ht="10.5" thickBot="1">
      <c r="C252" s="148">
        <v>250</v>
      </c>
      <c r="D252" s="156" t="str">
        <f>IF(D248="Sieger 243","Sieger 246",IF(E248="Sieger 244","Sieger 246",IF(D248=E248,"Freilos",IF(E248="Freilos",D248,IF(D248="Freilos",E248,IF(F248&gt;G248,D248,IF(G248&gt;F248,E248,"Sieger 246")))))))</f>
        <v>Sieger 246</v>
      </c>
      <c r="E252" s="189" t="str">
        <f>IF(D250="Sieger 239","Verlierer 248",IF(E250="Sieger 240","Verlierer 248",IF(D250=E250,"Freilos",IF(E250="Freilos",E250,IF(D250="Freilos",D250,IF(F250&gt;G250,E250,IF(G250&gt;F250,D250,"Verlierer 248")))))))</f>
        <v>Verlierer 248</v>
      </c>
      <c r="F252" s="132"/>
      <c r="G252" s="165"/>
      <c r="H252" s="157"/>
      <c r="I252" s="157"/>
      <c r="J252" s="157"/>
      <c r="K252" s="199"/>
      <c r="L252" s="71"/>
      <c r="M252" s="95">
        <f>IF(F252&gt;G252,E252,IF(G252&gt;F252,D252,""))</f>
      </c>
      <c r="N252" s="48">
        <f t="shared" si="57"/>
        <v>0</v>
      </c>
      <c r="O252" s="48">
        <f t="shared" si="58"/>
        <v>0</v>
      </c>
      <c r="P252" s="48">
        <f>IF(D251="Freilos",0,IF(F252&lt;G252,1,IF(F252&gt;G252,1,0)))</f>
        <v>0</v>
      </c>
      <c r="Q252" s="48">
        <f>IF(D251="Freilos",0,IF(F252&lt;G252,1,IF(F252&gt;G252,1,0)))</f>
        <v>0</v>
      </c>
      <c r="R252" s="48">
        <f>IF(D251="Freilos",0,IF(F252&gt;G252,1,0))</f>
        <v>0</v>
      </c>
      <c r="S252" s="48">
        <f>IF(D251="Freilos",0,IF(G252&gt;F252,1,0))</f>
        <v>0</v>
      </c>
      <c r="T252" s="72">
        <f>IF(E252="Freilos",3,IF(F252&gt;G252,3,0))</f>
        <v>0</v>
      </c>
      <c r="U252" s="72">
        <f>IF(D251="Freilos",3,IF(G252&gt;F252,3,0))</f>
        <v>0</v>
      </c>
      <c r="V252" s="60">
        <f>IF(Spielereingabe!F129="","",121)</f>
      </c>
      <c r="W252" s="61">
        <f>IF(SP128!V252="","",Spielereingabe!F129)</f>
      </c>
      <c r="X252" s="61">
        <f>IF(SP128!V252="","",Spielereingabe!G129)</f>
      </c>
      <c r="Y252" s="61">
        <f>IF(SP128!V252="","",Spielereingabe!H129)</f>
      </c>
      <c r="Z252" s="61">
        <f>IF(SP128!V252="","",Spielereingabe!I129)</f>
      </c>
      <c r="AA252" s="62">
        <f>IF(SP128!V252="","",SP128!X123)</f>
      </c>
      <c r="AB252" s="62">
        <f>IF(SP128!V252="","",SP128!Z123)</f>
      </c>
      <c r="AC252" s="62">
        <f>IF(SP128!V252="","",SP128!AA123)</f>
      </c>
      <c r="AD252" s="62">
        <f>IF(SP128!V252="","",SP128!AC123)</f>
      </c>
      <c r="AE252" s="62">
        <f>IF(SP128!V252="","",SP128!AD123)</f>
      </c>
      <c r="AF252" s="235">
        <f>IF(SP128!V252="","",SP128!AE123)</f>
      </c>
      <c r="AG252" s="238"/>
      <c r="AH252" s="239"/>
    </row>
    <row r="253" spans="2:34" ht="10.5" thickBot="1">
      <c r="B253" s="88" t="s">
        <v>51</v>
      </c>
      <c r="C253" s="200">
        <v>251</v>
      </c>
      <c r="D253" s="201" t="str">
        <f>IF(D251="Sieger 245","Sieger 249",IF(E251="Verlierer 247","Sieger 249",IF(D251=E251,"Freilos",IF(E251="Freilos",D251,IF(D251="Freilos",E251,IF(F251&gt;G251,D251,IF(G251&gt;F251,E251,"Sieger 249")))))))</f>
        <v>Sieger 249</v>
      </c>
      <c r="E253" s="202" t="str">
        <f>IF(D252="Sieger 246","Sieger 250",IF(E252="Verlierer 248","Sieger 250",IF(D252=E252,"Freilos",IF(E252="Freilos",D252,IF(D252="Freilos",E252,IF(F252&gt;G252,D252,IF(G252&gt;F252,E252,"Sieger 250")))))))</f>
        <v>Sieger 250</v>
      </c>
      <c r="F253" s="203"/>
      <c r="G253" s="204"/>
      <c r="H253" s="205"/>
      <c r="I253" s="205"/>
      <c r="J253" s="205"/>
      <c r="K253" s="206"/>
      <c r="L253" s="71"/>
      <c r="M253" s="95">
        <f>IF(F253&gt;G253,E253,IF(G253&gt;F253,D253,""))</f>
      </c>
      <c r="N253" s="48">
        <f t="shared" si="57"/>
        <v>0</v>
      </c>
      <c r="O253" s="48">
        <f t="shared" si="58"/>
        <v>0</v>
      </c>
      <c r="P253" s="48">
        <f t="shared" si="59"/>
        <v>0</v>
      </c>
      <c r="Q253" s="48">
        <f t="shared" si="63"/>
        <v>0</v>
      </c>
      <c r="R253" s="48">
        <f t="shared" si="60"/>
        <v>0</v>
      </c>
      <c r="S253" s="48">
        <f t="shared" si="61"/>
        <v>0</v>
      </c>
      <c r="T253" s="72">
        <f>IF(E253="Freilos",3,IF(F253&gt;G253,3,0))</f>
        <v>0</v>
      </c>
      <c r="U253" s="72">
        <f t="shared" si="62"/>
        <v>0</v>
      </c>
      <c r="V253" s="60">
        <f>IF(Spielereingabe!F130="","",122)</f>
      </c>
      <c r="W253" s="61">
        <f>IF(SP128!V253="","",Spielereingabe!F130)</f>
      </c>
      <c r="X253" s="61">
        <f>IF(SP128!V253="","",Spielereingabe!G130)</f>
      </c>
      <c r="Y253" s="61">
        <f>IF(SP128!V253="","",Spielereingabe!H130)</f>
      </c>
      <c r="Z253" s="61">
        <f>IF(SP128!V253="","",Spielereingabe!I130)</f>
      </c>
      <c r="AA253" s="62">
        <f>IF(SP128!V253="","",SP128!X124)</f>
      </c>
      <c r="AB253" s="62">
        <f>IF(SP128!V253="","",SP128!Z124)</f>
      </c>
      <c r="AC253" s="62">
        <f>IF(SP128!V253="","",SP128!AA124)</f>
      </c>
      <c r="AD253" s="62">
        <f>IF(SP128!V253="","",SP128!AC124)</f>
      </c>
      <c r="AE253" s="62">
        <f>IF(SP128!V253="","",SP128!AD124)</f>
      </c>
      <c r="AF253" s="235">
        <f>IF(SP128!V253="","",SP128!AE124)</f>
      </c>
      <c r="AG253" s="238"/>
      <c r="AH253" s="239"/>
    </row>
    <row r="254" spans="2:34" ht="10.5" thickBot="1">
      <c r="B254" s="108" t="s">
        <v>52</v>
      </c>
      <c r="C254" s="200">
        <v>252</v>
      </c>
      <c r="D254" s="207" t="str">
        <f>IF(D249="Sieger 237","Sieger 247",IF(E249="Sieger 238","Sieger 247",IF(D249=E249,"Freilos",IF(E249="Freilos",D249,IF(D249="Freilos",E249,IF(F249&gt;G249,D249,IF(G249&gt;F249,E249,"Sieger 247")))))))</f>
        <v>Sieger 247</v>
      </c>
      <c r="E254" s="208" t="str">
        <f>IF(D250="Sieger 239","Sieger 248",IF(E250="Sieger 240","Sieger 248",IF(D250=E250,"Freilos",IF(E250="Freilos",D250,IF(D250="Freilos",E250,IF(F250&gt;G250,D250,IF(G250&gt;F250,E250,"Sieger 248")))))))</f>
        <v>Sieger 248</v>
      </c>
      <c r="F254" s="209"/>
      <c r="G254" s="210"/>
      <c r="H254" s="211"/>
      <c r="I254" s="211"/>
      <c r="J254" s="211"/>
      <c r="K254" s="210"/>
      <c r="L254" s="71"/>
      <c r="M254" s="212"/>
      <c r="N254" s="48">
        <f t="shared" si="57"/>
        <v>0</v>
      </c>
      <c r="O254" s="48">
        <f t="shared" si="58"/>
        <v>0</v>
      </c>
      <c r="P254" s="48">
        <f t="shared" si="59"/>
        <v>0</v>
      </c>
      <c r="Q254" s="48">
        <f t="shared" si="63"/>
        <v>0</v>
      </c>
      <c r="R254" s="48">
        <f t="shared" si="60"/>
        <v>0</v>
      </c>
      <c r="S254" s="48">
        <f t="shared" si="61"/>
        <v>0</v>
      </c>
      <c r="T254" s="72">
        <f>IF(E254="Freilos",6,IF(F254&gt;G254,6,0))</f>
        <v>0</v>
      </c>
      <c r="U254" s="72">
        <f>IF(D254="Freilos",6,IF(G254&gt;F254,6,0))</f>
        <v>0</v>
      </c>
      <c r="V254" s="60">
        <f>IF(Spielereingabe!F131="","",123)</f>
      </c>
      <c r="W254" s="61">
        <f>IF(SP128!V254="","",Spielereingabe!F131)</f>
      </c>
      <c r="X254" s="61">
        <f>IF(SP128!V254="","",Spielereingabe!G131)</f>
      </c>
      <c r="Y254" s="61">
        <f>IF(SP128!V254="","",Spielereingabe!H131)</f>
      </c>
      <c r="Z254" s="61">
        <f>IF(SP128!V254="","",Spielereingabe!I131)</f>
      </c>
      <c r="AA254" s="62">
        <f>IF(SP128!V254="","",SP128!X125)</f>
      </c>
      <c r="AB254" s="62">
        <f>IF(SP128!V254="","",SP128!Z125)</f>
      </c>
      <c r="AC254" s="62">
        <f>IF(SP128!V254="","",SP128!AA125)</f>
      </c>
      <c r="AD254" s="62">
        <f>IF(SP128!V254="","",SP128!AC125)</f>
      </c>
      <c r="AE254" s="62">
        <f>IF(SP128!V254="","",SP128!AD125)</f>
      </c>
      <c r="AF254" s="235">
        <f>IF(SP128!V254="","",SP128!AE125)</f>
      </c>
      <c r="AG254" s="238"/>
      <c r="AH254" s="239"/>
    </row>
    <row r="255" spans="2:34" ht="10.5" thickBot="1">
      <c r="B255" s="88" t="s">
        <v>32</v>
      </c>
      <c r="C255" s="200">
        <v>253</v>
      </c>
      <c r="D255" s="213" t="str">
        <f>IF(D253="Sieger 249","Sieger 251",IF(E253="Sieger 250","Sieger 251",IF(D253=E253,"Freilos",IF(E253="Freilos",D253,IF(D253="Freilos",E253,IF(F253&gt;G253,D253,IF(G253&gt;F253,E253,"Sieger 251")))))))</f>
        <v>Sieger 251</v>
      </c>
      <c r="E255" s="214" t="str">
        <f>IF(D254="Sieger 247","Verlierer 252",IF(E254="Sieger 248","Verlierer 252",IF(D254=E254,"Freilos",IF(E254="Freilos",E254,IF(D254="Freilos",D254,IF(F254&gt;G254,E254,IF(G254&gt;F254,D254,"Verlierer 252")))))))</f>
        <v>Verlierer 252</v>
      </c>
      <c r="F255" s="203"/>
      <c r="G255" s="204"/>
      <c r="H255" s="205"/>
      <c r="I255" s="205"/>
      <c r="J255" s="205"/>
      <c r="K255" s="206"/>
      <c r="L255" s="71"/>
      <c r="M255" s="95">
        <f>IF(F255&gt;G255,E255,IF(G255&gt;F255,D255,""))</f>
      </c>
      <c r="N255" s="48">
        <f t="shared" si="57"/>
        <v>0</v>
      </c>
      <c r="O255" s="48">
        <f t="shared" si="58"/>
        <v>0</v>
      </c>
      <c r="P255" s="48">
        <f t="shared" si="59"/>
        <v>0</v>
      </c>
      <c r="Q255" s="48">
        <f t="shared" si="63"/>
        <v>0</v>
      </c>
      <c r="R255" s="48">
        <f t="shared" si="60"/>
        <v>0</v>
      </c>
      <c r="S255" s="48">
        <f t="shared" si="61"/>
        <v>0</v>
      </c>
      <c r="T255" s="72">
        <f>IF(E255="Freilos",3,IF(F255&gt;G255,3,0))</f>
        <v>0</v>
      </c>
      <c r="U255" s="72">
        <f t="shared" si="62"/>
        <v>0</v>
      </c>
      <c r="V255" s="60">
        <f>IF(Spielereingabe!F132="","",124)</f>
      </c>
      <c r="W255" s="61">
        <f>IF(SP128!V255="","",Spielereingabe!F132)</f>
      </c>
      <c r="X255" s="61">
        <f>IF(SP128!V255="","",Spielereingabe!G132)</f>
      </c>
      <c r="Y255" s="61">
        <f>IF(SP128!V255="","",Spielereingabe!H132)</f>
      </c>
      <c r="Z255" s="61">
        <f>IF(SP128!V255="","",Spielereingabe!I132)</f>
      </c>
      <c r="AA255" s="62">
        <f>IF(SP128!V255="","",SP128!X126)</f>
      </c>
      <c r="AB255" s="62">
        <f>IF(SP128!V255="","",SP128!Z126)</f>
      </c>
      <c r="AC255" s="62">
        <f>IF(SP128!V255="","",SP128!AA126)</f>
      </c>
      <c r="AD255" s="62">
        <f>IF(SP128!V255="","",SP128!AC126)</f>
      </c>
      <c r="AE255" s="62">
        <f>IF(SP128!V255="","",SP128!AD126)</f>
      </c>
      <c r="AF255" s="235">
        <f>IF(SP128!V255="","",SP128!AE126)</f>
      </c>
      <c r="AG255" s="238"/>
      <c r="AH255" s="239"/>
    </row>
    <row r="256" spans="2:34" ht="10.5" thickBot="1">
      <c r="B256" s="215" t="s">
        <v>33</v>
      </c>
      <c r="C256" s="200">
        <v>254</v>
      </c>
      <c r="D256" s="216" t="str">
        <f>IF(D254="Sieger 247","Sieger 252",IF(E254="Sieger 248","Sieger 252",IF(D254=E254,"Freilos",IF(E254="Freilos",D254,IF(D254="Freilos",E254,IF(F254&gt;G254,D254,IF(G254&gt;F254,E254,"Sieger 252")))))))</f>
        <v>Sieger 252</v>
      </c>
      <c r="E256" s="217" t="str">
        <f>IF(D255="Sieger 251","Sieger 253",IF(E255="Verlierer 252","Sieger 253",IF(D255=E255,"Freilos",IF(E255="Freilos",D255,IF(D255="Freilos",E255,IF(F255&gt;G255,D255,IF(G255&gt;F255,E255,"Sieger 253")))))))</f>
        <v>Sieger 253</v>
      </c>
      <c r="F256" s="218"/>
      <c r="G256" s="219"/>
      <c r="H256" s="220"/>
      <c r="I256" s="220"/>
      <c r="J256" s="220"/>
      <c r="K256" s="219"/>
      <c r="L256" s="71"/>
      <c r="M256" s="59" t="s">
        <v>53</v>
      </c>
      <c r="N256" s="48">
        <f t="shared" si="57"/>
        <v>0</v>
      </c>
      <c r="O256" s="48">
        <f t="shared" si="58"/>
        <v>0</v>
      </c>
      <c r="P256" s="48">
        <f t="shared" si="59"/>
        <v>0</v>
      </c>
      <c r="Q256" s="48">
        <f t="shared" si="63"/>
        <v>0</v>
      </c>
      <c r="R256" s="48">
        <f t="shared" si="60"/>
        <v>0</v>
      </c>
      <c r="S256" s="48">
        <f t="shared" si="61"/>
        <v>0</v>
      </c>
      <c r="T256" s="72">
        <f>IF(E256="Freilos",3,IF(F256&gt;G256,3,0))</f>
        <v>0</v>
      </c>
      <c r="U256" s="72">
        <f t="shared" si="62"/>
        <v>0</v>
      </c>
      <c r="V256" s="60">
        <f>IF(Spielereingabe!F133="","",125)</f>
      </c>
      <c r="W256" s="61">
        <f>IF(SP128!V256="","",Spielereingabe!F133)</f>
      </c>
      <c r="X256" s="61">
        <f>IF(SP128!V256="","",Spielereingabe!G133)</f>
      </c>
      <c r="Y256" s="61">
        <f>IF(SP128!V256="","",Spielereingabe!H133)</f>
      </c>
      <c r="Z256" s="61">
        <f>IF(SP128!V256="","",Spielereingabe!I133)</f>
      </c>
      <c r="AA256" s="62">
        <f>IF(SP128!V256="","",SP128!X127)</f>
      </c>
      <c r="AB256" s="62">
        <f>IF(SP128!V256="","",SP128!Z127)</f>
      </c>
      <c r="AC256" s="62">
        <f>IF(SP128!V256="","",SP128!AA127)</f>
      </c>
      <c r="AD256" s="62">
        <f>IF(SP128!V256="","",SP128!AC127)</f>
      </c>
      <c r="AE256" s="62">
        <f>IF(SP128!V256="","",SP128!AD127)</f>
      </c>
      <c r="AF256" s="235">
        <f>IF(SP128!V256="","",SP128!AE127)</f>
      </c>
      <c r="AG256" s="238"/>
      <c r="AH256" s="239"/>
    </row>
    <row r="257" spans="2:34" ht="10.5" thickBot="1">
      <c r="B257" s="221" t="s">
        <v>34</v>
      </c>
      <c r="C257" s="222">
        <v>255</v>
      </c>
      <c r="D257" s="223" t="str">
        <f>IF(D256="Sieger 252","Sieger 254",IF(E256="Sieger 253","Sieger 254",IF(D256=E256,"Freilos",IF(E256="Freilos",D256,IF(D256="Freilos",E256,IF(F256&gt;G256,D256,IF(G256&gt;F256,E256,"Sieger 254")))))))</f>
        <v>Sieger 254</v>
      </c>
      <c r="E257" s="224" t="str">
        <f>IF(D256="Sieger 252","Verlierer 254",IF(E256="Sieger 253","Verlierer 254",IF(D256=E256,"Freilos",IF(E256="Freilos",D256,IF(D256="Freilos",E256,IF(F256&gt;G256,E256,IF(G256&gt;F256,D256,"Verlierer 254")))))))</f>
        <v>Verlierer 254</v>
      </c>
      <c r="F257" s="225"/>
      <c r="G257" s="226"/>
      <c r="H257" s="227"/>
      <c r="I257" s="227"/>
      <c r="J257" s="227"/>
      <c r="K257" s="226"/>
      <c r="L257" s="228"/>
      <c r="M257" s="59" t="s">
        <v>39</v>
      </c>
      <c r="N257" s="48">
        <f t="shared" si="57"/>
        <v>0</v>
      </c>
      <c r="O257" s="48">
        <f t="shared" si="58"/>
        <v>0</v>
      </c>
      <c r="P257" s="48">
        <f t="shared" si="59"/>
        <v>0</v>
      </c>
      <c r="Q257" s="48">
        <f t="shared" si="63"/>
        <v>0</v>
      </c>
      <c r="R257" s="48">
        <f t="shared" si="60"/>
        <v>0</v>
      </c>
      <c r="S257" s="48">
        <f t="shared" si="61"/>
        <v>0</v>
      </c>
      <c r="T257" s="72">
        <f>IF(E257="Freilos",3,IF(F257&gt;G257,3,0))</f>
        <v>0</v>
      </c>
      <c r="U257" s="72">
        <f t="shared" si="62"/>
        <v>0</v>
      </c>
      <c r="V257" s="60">
        <f>IF(Spielereingabe!F134="","",126)</f>
      </c>
      <c r="W257" s="61">
        <f>IF(SP128!V257="","",Spielereingabe!F134)</f>
      </c>
      <c r="X257" s="61">
        <f>IF(SP128!V257="","",Spielereingabe!G134)</f>
      </c>
      <c r="Y257" s="61">
        <f>IF(SP128!V257="","",Spielereingabe!H134)</f>
      </c>
      <c r="Z257" s="61">
        <f>IF(SP128!V257="","",Spielereingabe!I134)</f>
      </c>
      <c r="AA257" s="62">
        <f>IF(SP128!V257="","",SP128!X128)</f>
      </c>
      <c r="AB257" s="62">
        <f>IF(SP128!V257="","",SP128!Z128)</f>
      </c>
      <c r="AC257" s="62">
        <f>IF(SP128!V257="","",SP128!AA128)</f>
      </c>
      <c r="AD257" s="62">
        <f>IF(SP128!V257="","",SP128!AC128)</f>
      </c>
      <c r="AE257" s="62">
        <f>IF(SP128!V257="","",SP128!AD128)</f>
      </c>
      <c r="AF257" s="235">
        <f>IF(SP128!V257="","",SP128!AE128)</f>
      </c>
      <c r="AG257" s="238"/>
      <c r="AH257" s="239"/>
    </row>
    <row r="258" spans="22:34" ht="10.5" thickBot="1">
      <c r="V258" s="60">
        <f>IF(Spielereingabe!F135="","",127)</f>
      </c>
      <c r="W258" s="61">
        <f>IF(SP128!V258="","",Spielereingabe!F135)</f>
      </c>
      <c r="X258" s="61">
        <f>IF(SP128!V258="","",Spielereingabe!G135)</f>
      </c>
      <c r="Y258" s="61">
        <f>IF(SP128!V258="","",Spielereingabe!H135)</f>
      </c>
      <c r="Z258" s="61">
        <f>IF(SP128!V258="","",Spielereingabe!I135)</f>
      </c>
      <c r="AA258" s="62">
        <f>IF(SP128!V258="","",SP128!X129)</f>
      </c>
      <c r="AB258" s="62">
        <f>IF(SP128!V258="","",SP128!Z129)</f>
      </c>
      <c r="AC258" s="62">
        <f>IF(SP128!V258="","",SP128!AA129)</f>
      </c>
      <c r="AD258" s="62">
        <f>IF(SP128!V258="","",SP128!AC129)</f>
      </c>
      <c r="AE258" s="62">
        <f>IF(SP128!V258="","",SP128!AD129)</f>
      </c>
      <c r="AF258" s="235">
        <f>IF(SP128!V258="","",SP128!AE129)</f>
      </c>
      <c r="AG258" s="242"/>
      <c r="AH258" s="243"/>
    </row>
    <row r="259" spans="22:32" ht="9.75" thickBot="1">
      <c r="V259" s="229">
        <f>IF(Spielereingabe!F136="","",128)</f>
      </c>
      <c r="W259" s="230">
        <f>IF(SP128!V259="","",Spielereingabe!F136)</f>
      </c>
      <c r="X259" s="230">
        <f>IF(SP128!V259="","",Spielereingabe!G136)</f>
      </c>
      <c r="Y259" s="230">
        <f>IF(SP128!V259="","",Spielereingabe!H136)</f>
      </c>
      <c r="Z259" s="230">
        <f>IF(SP128!V259="","",Spielereingabe!I136)</f>
      </c>
      <c r="AA259" s="231">
        <f>IF(SP128!V259="","",SP128!X130)</f>
      </c>
      <c r="AB259" s="231">
        <f>IF(SP128!V259="","",SP128!Z130)</f>
      </c>
      <c r="AC259" s="231">
        <f>IF(SP128!V259="","",SP128!AA130)</f>
      </c>
      <c r="AD259" s="231">
        <f>IF(SP128!V259="","",SP128!AC130)</f>
      </c>
      <c r="AE259" s="231">
        <f>IF(SP128!V259="","",SP128!AD130)</f>
      </c>
      <c r="AF259" s="232">
        <f>IF(SP128!V259="","",SP128!AE130)</f>
      </c>
    </row>
  </sheetData>
  <sheetProtection sheet="1" objects="1" scenarios="1"/>
  <conditionalFormatting sqref="L99">
    <cfRule type="expression" priority="1" dxfId="0" stopIfTrue="1">
      <formula>T99+U99&gt;0</formula>
    </cfRule>
    <cfRule type="expression" priority="2" dxfId="1" stopIfTrue="1">
      <formula>D99="Sieger 1"</formula>
    </cfRule>
    <cfRule type="expression" priority="3" dxfId="1" stopIfTrue="1">
      <formula>E99="Sieger 2"</formula>
    </cfRule>
  </conditionalFormatting>
  <conditionalFormatting sqref="L4">
    <cfRule type="expression" priority="4" dxfId="0" stopIfTrue="1">
      <formula>T4+U4&gt;0</formula>
    </cfRule>
    <cfRule type="expression" priority="5" dxfId="1" stopIfTrue="1">
      <formula>D4="Spieler 33"</formula>
    </cfRule>
    <cfRule type="expression" priority="6" dxfId="1" stopIfTrue="1">
      <formula>E4="Spieler 97"</formula>
    </cfRule>
  </conditionalFormatting>
  <conditionalFormatting sqref="L5">
    <cfRule type="expression" priority="7" dxfId="0" stopIfTrue="1">
      <formula>T5+U5&gt;0</formula>
    </cfRule>
    <cfRule type="expression" priority="8" dxfId="1" stopIfTrue="1">
      <formula>D5="Spieler 17"</formula>
    </cfRule>
    <cfRule type="expression" priority="9" dxfId="1" stopIfTrue="1">
      <formula>E5="Spieler 81"</formula>
    </cfRule>
  </conditionalFormatting>
  <conditionalFormatting sqref="L6">
    <cfRule type="expression" priority="10" dxfId="0" stopIfTrue="1">
      <formula>T6+U6&gt;0</formula>
    </cfRule>
    <cfRule type="expression" priority="11" dxfId="1" stopIfTrue="1">
      <formula>D6="Spieler 49"</formula>
    </cfRule>
    <cfRule type="expression" priority="12" dxfId="1" stopIfTrue="1">
      <formula>E6="Spieler 113"</formula>
    </cfRule>
  </conditionalFormatting>
  <conditionalFormatting sqref="L7">
    <cfRule type="expression" priority="13" dxfId="0" stopIfTrue="1">
      <formula>T7+U7&gt;0</formula>
    </cfRule>
    <cfRule type="expression" priority="14" dxfId="1" stopIfTrue="1">
      <formula>D7="Spieler 9"</formula>
    </cfRule>
    <cfRule type="expression" priority="15" dxfId="1" stopIfTrue="1">
      <formula>E7="Spieler 73"</formula>
    </cfRule>
  </conditionalFormatting>
  <conditionalFormatting sqref="L8">
    <cfRule type="expression" priority="16" dxfId="0" stopIfTrue="1">
      <formula>T8+U8&gt;0</formula>
    </cfRule>
    <cfRule type="expression" priority="17" dxfId="1" stopIfTrue="1">
      <formula>D8="Spieler 41"</formula>
    </cfRule>
    <cfRule type="expression" priority="18" dxfId="1" stopIfTrue="1">
      <formula>E8="Spieler 105"</formula>
    </cfRule>
  </conditionalFormatting>
  <conditionalFormatting sqref="L9">
    <cfRule type="expression" priority="19" dxfId="0" stopIfTrue="1">
      <formula>T9+U9&gt;0</formula>
    </cfRule>
    <cfRule type="expression" priority="20" dxfId="1" stopIfTrue="1">
      <formula>D9="Spieler 25"</formula>
    </cfRule>
    <cfRule type="expression" priority="21" dxfId="1" stopIfTrue="1">
      <formula>E9="Spieler 89"</formula>
    </cfRule>
  </conditionalFormatting>
  <conditionalFormatting sqref="L10">
    <cfRule type="expression" priority="22" dxfId="0" stopIfTrue="1">
      <formula>T10+U10&gt;0</formula>
    </cfRule>
    <cfRule type="expression" priority="23" dxfId="1" stopIfTrue="1">
      <formula>D10="Spieler 57"</formula>
    </cfRule>
    <cfRule type="expression" priority="24" dxfId="1" stopIfTrue="1">
      <formula>E10="Spieler 121"</formula>
    </cfRule>
  </conditionalFormatting>
  <conditionalFormatting sqref="L11">
    <cfRule type="expression" priority="25" dxfId="0" stopIfTrue="1">
      <formula>T11+U11&gt;0</formula>
    </cfRule>
    <cfRule type="expression" priority="26" dxfId="1" stopIfTrue="1">
      <formula>D11="Spieler 5"</formula>
    </cfRule>
    <cfRule type="expression" priority="27" dxfId="1" stopIfTrue="1">
      <formula>E11="Spieler 69"</formula>
    </cfRule>
  </conditionalFormatting>
  <conditionalFormatting sqref="L12">
    <cfRule type="expression" priority="28" dxfId="0" stopIfTrue="1">
      <formula>T12+U12&gt;0</formula>
    </cfRule>
    <cfRule type="expression" priority="29" dxfId="1" stopIfTrue="1">
      <formula>D12="Spieler 37"</formula>
    </cfRule>
    <cfRule type="expression" priority="30" dxfId="1" stopIfTrue="1">
      <formula>E12="Spieler 101"</formula>
    </cfRule>
  </conditionalFormatting>
  <conditionalFormatting sqref="L13">
    <cfRule type="expression" priority="31" dxfId="0" stopIfTrue="1">
      <formula>T13+U13&gt;0</formula>
    </cfRule>
    <cfRule type="expression" priority="32" dxfId="1" stopIfTrue="1">
      <formula>D13="Spieler 21"</formula>
    </cfRule>
    <cfRule type="expression" priority="33" dxfId="1" stopIfTrue="1">
      <formula>E13="Spieler 85"</formula>
    </cfRule>
  </conditionalFormatting>
  <conditionalFormatting sqref="L14">
    <cfRule type="expression" priority="34" dxfId="0" stopIfTrue="1">
      <formula>T14+U14&gt;0</formula>
    </cfRule>
    <cfRule type="expression" priority="35" dxfId="1" stopIfTrue="1">
      <formula>D14="Spieler 53"</formula>
    </cfRule>
    <cfRule type="expression" priority="36" dxfId="1" stopIfTrue="1">
      <formula>E14="Spieler 117"</formula>
    </cfRule>
  </conditionalFormatting>
  <conditionalFormatting sqref="L15">
    <cfRule type="expression" priority="37" dxfId="0" stopIfTrue="1">
      <formula>T15+U15&gt;0</formula>
    </cfRule>
    <cfRule type="expression" priority="38" dxfId="1" stopIfTrue="1">
      <formula>D15="Spieler 13"</formula>
    </cfRule>
    <cfRule type="expression" priority="39" dxfId="1" stopIfTrue="1">
      <formula>E15="Spieler 77"</formula>
    </cfRule>
  </conditionalFormatting>
  <conditionalFormatting sqref="L16">
    <cfRule type="expression" priority="40" dxfId="0" stopIfTrue="1">
      <formula>T16+U16&gt;0</formula>
    </cfRule>
    <cfRule type="expression" priority="41" dxfId="1" stopIfTrue="1">
      <formula>D16="Spieler 45"</formula>
    </cfRule>
    <cfRule type="expression" priority="42" dxfId="1" stopIfTrue="1">
      <formula>E16="Spieler 109"</formula>
    </cfRule>
  </conditionalFormatting>
  <conditionalFormatting sqref="L17">
    <cfRule type="expression" priority="43" dxfId="0" stopIfTrue="1">
      <formula>T17+U17&gt;0</formula>
    </cfRule>
    <cfRule type="expression" priority="44" dxfId="1" stopIfTrue="1">
      <formula>D17="Spieler 29"</formula>
    </cfRule>
    <cfRule type="expression" priority="45" dxfId="1" stopIfTrue="1">
      <formula>E17="Spieler 93"</formula>
    </cfRule>
  </conditionalFormatting>
  <conditionalFormatting sqref="L18">
    <cfRule type="expression" priority="46" dxfId="0" stopIfTrue="1">
      <formula>T18+U18&gt;0</formula>
    </cfRule>
    <cfRule type="expression" priority="47" dxfId="1" stopIfTrue="1">
      <formula>D18="Spieler 61"</formula>
    </cfRule>
    <cfRule type="expression" priority="48" dxfId="1" stopIfTrue="1">
      <formula>E18="Spieler 125"</formula>
    </cfRule>
  </conditionalFormatting>
  <conditionalFormatting sqref="L19">
    <cfRule type="expression" priority="49" dxfId="0" stopIfTrue="1">
      <formula>T19+U19&gt;0</formula>
    </cfRule>
    <cfRule type="expression" priority="50" dxfId="1" stopIfTrue="1">
      <formula>D19="Spieler 3"</formula>
    </cfRule>
    <cfRule type="expression" priority="51" dxfId="1" stopIfTrue="1">
      <formula>E19="Spieler 67"</formula>
    </cfRule>
  </conditionalFormatting>
  <conditionalFormatting sqref="L20">
    <cfRule type="expression" priority="52" dxfId="0" stopIfTrue="1">
      <formula>T20+U20&gt;0</formula>
    </cfRule>
    <cfRule type="expression" priority="53" dxfId="1" stopIfTrue="1">
      <formula>D20="Spieler 35"</formula>
    </cfRule>
    <cfRule type="expression" priority="54" dxfId="1" stopIfTrue="1">
      <formula>E20="Spieler 99"</formula>
    </cfRule>
  </conditionalFormatting>
  <conditionalFormatting sqref="L21">
    <cfRule type="expression" priority="55" dxfId="0" stopIfTrue="1">
      <formula>T21+U21&gt;0</formula>
    </cfRule>
    <cfRule type="expression" priority="56" dxfId="1" stopIfTrue="1">
      <formula>D21="Spieler 19"</formula>
    </cfRule>
    <cfRule type="expression" priority="57" dxfId="1" stopIfTrue="1">
      <formula>E21="Spieler 83"</formula>
    </cfRule>
  </conditionalFormatting>
  <conditionalFormatting sqref="L22">
    <cfRule type="expression" priority="58" dxfId="0" stopIfTrue="1">
      <formula>T22+U22&gt;0</formula>
    </cfRule>
    <cfRule type="expression" priority="59" dxfId="1" stopIfTrue="1">
      <formula>D22="Spieler 51"</formula>
    </cfRule>
    <cfRule type="expression" priority="60" dxfId="1" stopIfTrue="1">
      <formula>E22="Spieler 115"</formula>
    </cfRule>
  </conditionalFormatting>
  <conditionalFormatting sqref="L23">
    <cfRule type="expression" priority="61" dxfId="0" stopIfTrue="1">
      <formula>T23+U23&gt;0</formula>
    </cfRule>
    <cfRule type="expression" priority="62" dxfId="1" stopIfTrue="1">
      <formula>D23="Spieler 11"</formula>
    </cfRule>
    <cfRule type="expression" priority="63" dxfId="1" stopIfTrue="1">
      <formula>E23="Spieler 75"</formula>
    </cfRule>
  </conditionalFormatting>
  <conditionalFormatting sqref="L24">
    <cfRule type="expression" priority="64" dxfId="0" stopIfTrue="1">
      <formula>T24+U24&gt;0</formula>
    </cfRule>
    <cfRule type="expression" priority="65" dxfId="1" stopIfTrue="1">
      <formula>D24="Spieler 43"</formula>
    </cfRule>
    <cfRule type="expression" priority="66" dxfId="1" stopIfTrue="1">
      <formula>E24="Spieler 107"</formula>
    </cfRule>
  </conditionalFormatting>
  <conditionalFormatting sqref="L25">
    <cfRule type="expression" priority="67" dxfId="0" stopIfTrue="1">
      <formula>T25+U25&gt;0</formula>
    </cfRule>
    <cfRule type="expression" priority="68" dxfId="1" stopIfTrue="1">
      <formula>D25="Spieler 27"</formula>
    </cfRule>
    <cfRule type="expression" priority="69" dxfId="1" stopIfTrue="1">
      <formula>E25="Spieler 91"</formula>
    </cfRule>
  </conditionalFormatting>
  <conditionalFormatting sqref="L26">
    <cfRule type="expression" priority="70" dxfId="0" stopIfTrue="1">
      <formula>T26+U26&gt;0</formula>
    </cfRule>
    <cfRule type="expression" priority="71" dxfId="1" stopIfTrue="1">
      <formula>D26="Spieler 59"</formula>
    </cfRule>
    <cfRule type="expression" priority="72" dxfId="1" stopIfTrue="1">
      <formula>E26="Spieler 123"</formula>
    </cfRule>
  </conditionalFormatting>
  <conditionalFormatting sqref="L27">
    <cfRule type="expression" priority="73" dxfId="0" stopIfTrue="1">
      <formula>T27+U27&gt;0</formula>
    </cfRule>
    <cfRule type="expression" priority="74" dxfId="1" stopIfTrue="1">
      <formula>D27="Spieler 7"</formula>
    </cfRule>
    <cfRule type="expression" priority="75" dxfId="1" stopIfTrue="1">
      <formula>E27="Spieler 71"</formula>
    </cfRule>
  </conditionalFormatting>
  <conditionalFormatting sqref="L28">
    <cfRule type="expression" priority="76" dxfId="0" stopIfTrue="1">
      <formula>T28+U28&gt;0</formula>
    </cfRule>
    <cfRule type="expression" priority="77" dxfId="1" stopIfTrue="1">
      <formula>D28="Spieler 39"</formula>
    </cfRule>
    <cfRule type="expression" priority="78" dxfId="1" stopIfTrue="1">
      <formula>E28="Spieler 103"</formula>
    </cfRule>
  </conditionalFormatting>
  <conditionalFormatting sqref="L29">
    <cfRule type="expression" priority="79" dxfId="0" stopIfTrue="1">
      <formula>T29+U29&gt;0</formula>
    </cfRule>
    <cfRule type="expression" priority="80" dxfId="1" stopIfTrue="1">
      <formula>D29="Spieler 23"</formula>
    </cfRule>
    <cfRule type="expression" priority="81" dxfId="1" stopIfTrue="1">
      <formula>E29="Spieler 87"</formula>
    </cfRule>
  </conditionalFormatting>
  <conditionalFormatting sqref="L30">
    <cfRule type="expression" priority="82" dxfId="0" stopIfTrue="1">
      <formula>T30+U30&gt;0</formula>
    </cfRule>
    <cfRule type="expression" priority="83" dxfId="1" stopIfTrue="1">
      <formula>D30="Spieler 55"</formula>
    </cfRule>
    <cfRule type="expression" priority="84" dxfId="1" stopIfTrue="1">
      <formula>E30="Spieler 119"</formula>
    </cfRule>
  </conditionalFormatting>
  <conditionalFormatting sqref="L31">
    <cfRule type="expression" priority="85" dxfId="0" stopIfTrue="1">
      <formula>T31+U31&gt;0</formula>
    </cfRule>
    <cfRule type="expression" priority="86" dxfId="1" stopIfTrue="1">
      <formula>D31="Spieler 15"</formula>
    </cfRule>
    <cfRule type="expression" priority="87" dxfId="1" stopIfTrue="1">
      <formula>E31="Spieler 79"</formula>
    </cfRule>
  </conditionalFormatting>
  <conditionalFormatting sqref="L32">
    <cfRule type="expression" priority="88" dxfId="0" stopIfTrue="1">
      <formula>T32+U32&gt;0</formula>
    </cfRule>
    <cfRule type="expression" priority="89" dxfId="1" stopIfTrue="1">
      <formula>D32="Spieler 47"</formula>
    </cfRule>
    <cfRule type="expression" priority="90" dxfId="1" stopIfTrue="1">
      <formula>E32="Spieler 111"</formula>
    </cfRule>
  </conditionalFormatting>
  <conditionalFormatting sqref="L33">
    <cfRule type="expression" priority="91" dxfId="0" stopIfTrue="1">
      <formula>T33+U33&gt;0</formula>
    </cfRule>
    <cfRule type="expression" priority="92" dxfId="1" stopIfTrue="1">
      <formula>D33="Spieler 31"</formula>
    </cfRule>
    <cfRule type="expression" priority="93" dxfId="1" stopIfTrue="1">
      <formula>E33="Spieler 95"</formula>
    </cfRule>
  </conditionalFormatting>
  <conditionalFormatting sqref="L34">
    <cfRule type="expression" priority="94" dxfId="0" stopIfTrue="1">
      <formula>T34+U34&gt;0</formula>
    </cfRule>
    <cfRule type="expression" priority="95" dxfId="1" stopIfTrue="1">
      <formula>D34="Spieler 63"</formula>
    </cfRule>
    <cfRule type="expression" priority="96" dxfId="1" stopIfTrue="1">
      <formula>E34="Spieler 127"</formula>
    </cfRule>
  </conditionalFormatting>
  <conditionalFormatting sqref="L35">
    <cfRule type="expression" priority="97" dxfId="0" stopIfTrue="1">
      <formula>T35+U35&gt;0</formula>
    </cfRule>
    <cfRule type="expression" priority="98" dxfId="1" stopIfTrue="1">
      <formula>D35="Spieler 2"</formula>
    </cfRule>
    <cfRule type="expression" priority="99" dxfId="1" stopIfTrue="1">
      <formula>E35="Spieler 66"</formula>
    </cfRule>
  </conditionalFormatting>
  <conditionalFormatting sqref="L36">
    <cfRule type="expression" priority="100" dxfId="0" stopIfTrue="1">
      <formula>T36+U36&gt;0</formula>
    </cfRule>
    <cfRule type="expression" priority="101" dxfId="1" stopIfTrue="1">
      <formula>D36="Spieler 34"</formula>
    </cfRule>
    <cfRule type="expression" priority="102" dxfId="1" stopIfTrue="1">
      <formula>E36="Spieler 98"</formula>
    </cfRule>
  </conditionalFormatting>
  <conditionalFormatting sqref="L37">
    <cfRule type="expression" priority="103" dxfId="0" stopIfTrue="1">
      <formula>T37+U37&gt;0</formula>
    </cfRule>
    <cfRule type="expression" priority="104" dxfId="1" stopIfTrue="1">
      <formula>D37="Spieler 18"</formula>
    </cfRule>
    <cfRule type="expression" priority="105" dxfId="1" stopIfTrue="1">
      <formula>E37="Spieler 82"</formula>
    </cfRule>
  </conditionalFormatting>
  <conditionalFormatting sqref="L38">
    <cfRule type="expression" priority="106" dxfId="0" stopIfTrue="1">
      <formula>T38+U38&gt;0</formula>
    </cfRule>
    <cfRule type="expression" priority="107" dxfId="1" stopIfTrue="1">
      <formula>D38="Spieler 50"</formula>
    </cfRule>
    <cfRule type="expression" priority="108" dxfId="1" stopIfTrue="1">
      <formula>E38="Spieler 114"</formula>
    </cfRule>
  </conditionalFormatting>
  <conditionalFormatting sqref="L39">
    <cfRule type="expression" priority="109" dxfId="0" stopIfTrue="1">
      <formula>T39+U39&gt;0</formula>
    </cfRule>
    <cfRule type="expression" priority="110" dxfId="1" stopIfTrue="1">
      <formula>D39="Spieler 10"</formula>
    </cfRule>
    <cfRule type="expression" priority="111" dxfId="1" stopIfTrue="1">
      <formula>E39="Spieler 74"</formula>
    </cfRule>
  </conditionalFormatting>
  <conditionalFormatting sqref="L40">
    <cfRule type="expression" priority="112" dxfId="0" stopIfTrue="1">
      <formula>T40+U40&gt;0</formula>
    </cfRule>
    <cfRule type="expression" priority="113" dxfId="1" stopIfTrue="1">
      <formula>D40="Spieler 42"</formula>
    </cfRule>
    <cfRule type="expression" priority="114" dxfId="1" stopIfTrue="1">
      <formula>E40="Spieler 106"</formula>
    </cfRule>
  </conditionalFormatting>
  <conditionalFormatting sqref="L41">
    <cfRule type="expression" priority="115" dxfId="0" stopIfTrue="1">
      <formula>T41+U41&gt;0</formula>
    </cfRule>
    <cfRule type="expression" priority="116" dxfId="1" stopIfTrue="1">
      <formula>D41="Spieler 26"</formula>
    </cfRule>
    <cfRule type="expression" priority="117" dxfId="1" stopIfTrue="1">
      <formula>E41="Spieler 90"</formula>
    </cfRule>
  </conditionalFormatting>
  <conditionalFormatting sqref="L42">
    <cfRule type="expression" priority="118" dxfId="0" stopIfTrue="1">
      <formula>T42+U42&gt;0</formula>
    </cfRule>
    <cfRule type="expression" priority="119" dxfId="1" stopIfTrue="1">
      <formula>D42="Spieler 58"</formula>
    </cfRule>
    <cfRule type="expression" priority="120" dxfId="1" stopIfTrue="1">
      <formula>E42="Spieler 122"</formula>
    </cfRule>
  </conditionalFormatting>
  <conditionalFormatting sqref="L43">
    <cfRule type="expression" priority="121" dxfId="0" stopIfTrue="1">
      <formula>T43+U43&gt;0</formula>
    </cfRule>
    <cfRule type="expression" priority="122" dxfId="1" stopIfTrue="1">
      <formula>D43="Spieler 6"</formula>
    </cfRule>
    <cfRule type="expression" priority="123" dxfId="1" stopIfTrue="1">
      <formula>E43="Spieler 70"</formula>
    </cfRule>
  </conditionalFormatting>
  <conditionalFormatting sqref="L44">
    <cfRule type="expression" priority="124" dxfId="0" stopIfTrue="1">
      <formula>T44+U44&gt;0</formula>
    </cfRule>
    <cfRule type="expression" priority="125" dxfId="1" stopIfTrue="1">
      <formula>D44="Spieler 38"</formula>
    </cfRule>
    <cfRule type="expression" priority="126" dxfId="1" stopIfTrue="1">
      <formula>E44="Spieler 102"</formula>
    </cfRule>
  </conditionalFormatting>
  <conditionalFormatting sqref="L45">
    <cfRule type="expression" priority="127" dxfId="0" stopIfTrue="1">
      <formula>T45+U45&gt;0</formula>
    </cfRule>
    <cfRule type="expression" priority="128" dxfId="1" stopIfTrue="1">
      <formula>D45="Spieler 22"</formula>
    </cfRule>
    <cfRule type="expression" priority="129" dxfId="1" stopIfTrue="1">
      <formula>E45="Spieler 86"</formula>
    </cfRule>
  </conditionalFormatting>
  <conditionalFormatting sqref="L46">
    <cfRule type="expression" priority="130" dxfId="0" stopIfTrue="1">
      <formula>T46+U46&gt;0</formula>
    </cfRule>
    <cfRule type="expression" priority="131" dxfId="1" stopIfTrue="1">
      <formula>D46="Spieler 54"</formula>
    </cfRule>
    <cfRule type="expression" priority="132" dxfId="1" stopIfTrue="1">
      <formula>E46="Spieler 118"</formula>
    </cfRule>
  </conditionalFormatting>
  <conditionalFormatting sqref="L47">
    <cfRule type="expression" priority="133" dxfId="0" stopIfTrue="1">
      <formula>T47+U47&gt;0</formula>
    </cfRule>
    <cfRule type="expression" priority="134" dxfId="1" stopIfTrue="1">
      <formula>D47="Spieler 14"</formula>
    </cfRule>
    <cfRule type="expression" priority="135" dxfId="1" stopIfTrue="1">
      <formula>E47="Spieler 78"</formula>
    </cfRule>
  </conditionalFormatting>
  <conditionalFormatting sqref="L48 L64">
    <cfRule type="expression" priority="136" dxfId="0" stopIfTrue="1">
      <formula>T48+U48&gt;0</formula>
    </cfRule>
    <cfRule type="expression" priority="137" dxfId="1" stopIfTrue="1">
      <formula>D48="Spieler 48"</formula>
    </cfRule>
    <cfRule type="expression" priority="138" dxfId="1" stopIfTrue="1">
      <formula>E48="Spieler 112"</formula>
    </cfRule>
  </conditionalFormatting>
  <conditionalFormatting sqref="L49">
    <cfRule type="expression" priority="139" dxfId="0" stopIfTrue="1">
      <formula>T49+U49&gt;0</formula>
    </cfRule>
    <cfRule type="expression" priority="140" dxfId="1" stopIfTrue="1">
      <formula>D49="Spieler 30"</formula>
    </cfRule>
    <cfRule type="expression" priority="141" dxfId="1" stopIfTrue="1">
      <formula>E49="Spieler 94"</formula>
    </cfRule>
  </conditionalFormatting>
  <conditionalFormatting sqref="L50">
    <cfRule type="expression" priority="142" dxfId="0" stopIfTrue="1">
      <formula>T50+U50&gt;0</formula>
    </cfRule>
    <cfRule type="expression" priority="143" dxfId="1" stopIfTrue="1">
      <formula>D50="Spieler 62"</formula>
    </cfRule>
    <cfRule type="expression" priority="144" dxfId="1" stopIfTrue="1">
      <formula>E50="Spieler 126"</formula>
    </cfRule>
  </conditionalFormatting>
  <conditionalFormatting sqref="L51">
    <cfRule type="expression" priority="145" dxfId="0" stopIfTrue="1">
      <formula>T51+U51&gt;0</formula>
    </cfRule>
    <cfRule type="expression" priority="146" dxfId="1" stopIfTrue="1">
      <formula>D51="Spieler 4"</formula>
    </cfRule>
    <cfRule type="expression" priority="147" dxfId="1" stopIfTrue="1">
      <formula>E51="Spieler 68"</formula>
    </cfRule>
  </conditionalFormatting>
  <conditionalFormatting sqref="L52">
    <cfRule type="expression" priority="148" dxfId="0" stopIfTrue="1">
      <formula>T52+U52&gt;0</formula>
    </cfRule>
    <cfRule type="expression" priority="149" dxfId="1" stopIfTrue="1">
      <formula>D52="Spieler 36"</formula>
    </cfRule>
    <cfRule type="expression" priority="150" dxfId="1" stopIfTrue="1">
      <formula>E52="Spieler 100"</formula>
    </cfRule>
  </conditionalFormatting>
  <conditionalFormatting sqref="L53">
    <cfRule type="expression" priority="151" dxfId="0" stopIfTrue="1">
      <formula>T53+U53&gt;0</formula>
    </cfRule>
    <cfRule type="expression" priority="152" dxfId="1" stopIfTrue="1">
      <formula>D53="Spieler 20"</formula>
    </cfRule>
    <cfRule type="expression" priority="153" dxfId="1" stopIfTrue="1">
      <formula>E53="Spieler 84"</formula>
    </cfRule>
  </conditionalFormatting>
  <conditionalFormatting sqref="L54">
    <cfRule type="expression" priority="154" dxfId="0" stopIfTrue="1">
      <formula>T54+U54&gt;0</formula>
    </cfRule>
    <cfRule type="expression" priority="155" dxfId="1" stopIfTrue="1">
      <formula>D54="Spieler 52"</formula>
    </cfRule>
    <cfRule type="expression" priority="156" dxfId="1" stopIfTrue="1">
      <formula>E54="Spieler 116"</formula>
    </cfRule>
  </conditionalFormatting>
  <conditionalFormatting sqref="L55">
    <cfRule type="expression" priority="157" dxfId="0" stopIfTrue="1">
      <formula>T55+U55&gt;0</formula>
    </cfRule>
    <cfRule type="expression" priority="158" dxfId="1" stopIfTrue="1">
      <formula>D55="Spieler 12"</formula>
    </cfRule>
    <cfRule type="expression" priority="159" dxfId="1" stopIfTrue="1">
      <formula>E55="Spieler 76"</formula>
    </cfRule>
  </conditionalFormatting>
  <conditionalFormatting sqref="L56">
    <cfRule type="expression" priority="160" dxfId="0" stopIfTrue="1">
      <formula>T56+U56&gt;0</formula>
    </cfRule>
    <cfRule type="expression" priority="161" dxfId="1" stopIfTrue="1">
      <formula>D56="Spieler 44"</formula>
    </cfRule>
    <cfRule type="expression" priority="162" dxfId="1" stopIfTrue="1">
      <formula>E56="Spieler 108"</formula>
    </cfRule>
  </conditionalFormatting>
  <conditionalFormatting sqref="L57">
    <cfRule type="expression" priority="163" dxfId="0" stopIfTrue="1">
      <formula>T57+U57&gt;0</formula>
    </cfRule>
    <cfRule type="expression" priority="164" dxfId="1" stopIfTrue="1">
      <formula>D57="Spieler 28"</formula>
    </cfRule>
    <cfRule type="expression" priority="165" dxfId="1" stopIfTrue="1">
      <formula>E57="Spieler 92"</formula>
    </cfRule>
  </conditionalFormatting>
  <conditionalFormatting sqref="L58">
    <cfRule type="expression" priority="166" dxfId="0" stopIfTrue="1">
      <formula>T58+U58&gt;0</formula>
    </cfRule>
    <cfRule type="expression" priority="167" dxfId="1" stopIfTrue="1">
      <formula>D58="Spieler 60"</formula>
    </cfRule>
    <cfRule type="expression" priority="168" dxfId="1" stopIfTrue="1">
      <formula>E58="Spieler 124"</formula>
    </cfRule>
  </conditionalFormatting>
  <conditionalFormatting sqref="L59">
    <cfRule type="expression" priority="169" dxfId="0" stopIfTrue="1">
      <formula>T59+U59&gt;0</formula>
    </cfRule>
    <cfRule type="expression" priority="170" dxfId="1" stopIfTrue="1">
      <formula>D59="Spieler 8"</formula>
    </cfRule>
    <cfRule type="expression" priority="171" dxfId="1" stopIfTrue="1">
      <formula>E59="Spieler 72"</formula>
    </cfRule>
  </conditionalFormatting>
  <conditionalFormatting sqref="L60">
    <cfRule type="expression" priority="172" dxfId="0" stopIfTrue="1">
      <formula>T60+U60&gt;0</formula>
    </cfRule>
    <cfRule type="expression" priority="173" dxfId="1" stopIfTrue="1">
      <formula>D60="Spieler 40"</formula>
    </cfRule>
    <cfRule type="expression" priority="174" dxfId="1" stopIfTrue="1">
      <formula>E60="Spieler 104"</formula>
    </cfRule>
  </conditionalFormatting>
  <conditionalFormatting sqref="L61">
    <cfRule type="expression" priority="175" dxfId="0" stopIfTrue="1">
      <formula>T61+U61&gt;0</formula>
    </cfRule>
    <cfRule type="expression" priority="176" dxfId="1" stopIfTrue="1">
      <formula>D61="Spieler 24"</formula>
    </cfRule>
    <cfRule type="expression" priority="177" dxfId="1" stopIfTrue="1">
      <formula>E61="Spieler 88"</formula>
    </cfRule>
  </conditionalFormatting>
  <conditionalFormatting sqref="L62">
    <cfRule type="expression" priority="178" dxfId="0" stopIfTrue="1">
      <formula>T62+U62&gt;0</formula>
    </cfRule>
    <cfRule type="expression" priority="179" dxfId="1" stopIfTrue="1">
      <formula>D62="Spieler 56"</formula>
    </cfRule>
    <cfRule type="expression" priority="180" dxfId="1" stopIfTrue="1">
      <formula>E62="Spieler 120"</formula>
    </cfRule>
  </conditionalFormatting>
  <conditionalFormatting sqref="L63">
    <cfRule type="expression" priority="181" dxfId="0" stopIfTrue="1">
      <formula>T63+U63&gt;0</formula>
    </cfRule>
    <cfRule type="expression" priority="182" dxfId="1" stopIfTrue="1">
      <formula>D63="Spieler 16"</formula>
    </cfRule>
    <cfRule type="expression" priority="183" dxfId="1" stopIfTrue="1">
      <formula>E63="Spieler 80"</formula>
    </cfRule>
  </conditionalFormatting>
  <conditionalFormatting sqref="L65">
    <cfRule type="expression" priority="184" dxfId="0" stopIfTrue="1">
      <formula>T65+U65&gt;0</formula>
    </cfRule>
    <cfRule type="expression" priority="185" dxfId="1" stopIfTrue="1">
      <formula>D65="Spieler 32"</formula>
    </cfRule>
    <cfRule type="expression" priority="186" dxfId="1" stopIfTrue="1">
      <formula>E65="Spieler 96"</formula>
    </cfRule>
  </conditionalFormatting>
  <conditionalFormatting sqref="L66">
    <cfRule type="expression" priority="187" dxfId="0" stopIfTrue="1">
      <formula>T66+U66&gt;0</formula>
    </cfRule>
    <cfRule type="expression" priority="188" dxfId="1" stopIfTrue="1">
      <formula>D66="Spieler 64"</formula>
    </cfRule>
    <cfRule type="expression" priority="189" dxfId="1" stopIfTrue="1">
      <formula>E66="Spieler 128"</formula>
    </cfRule>
  </conditionalFormatting>
  <conditionalFormatting sqref="L67">
    <cfRule type="expression" priority="190" dxfId="0" stopIfTrue="1">
      <formula>T67+U67&gt;0</formula>
    </cfRule>
    <cfRule type="expression" priority="191" dxfId="1" stopIfTrue="1">
      <formula>D67="Verlierer 1"</formula>
    </cfRule>
    <cfRule type="expression" priority="192" dxfId="1" stopIfTrue="1">
      <formula>E67="Verlierer 2"</formula>
    </cfRule>
  </conditionalFormatting>
  <conditionalFormatting sqref="L68">
    <cfRule type="expression" priority="193" dxfId="0" stopIfTrue="1">
      <formula>T68+U68&gt;0</formula>
    </cfRule>
    <cfRule type="expression" priority="194" dxfId="1" stopIfTrue="1">
      <formula>D68="Verlierer 3"</formula>
    </cfRule>
    <cfRule type="expression" priority="195" dxfId="1" stopIfTrue="1">
      <formula>E68="Verlierer 4"</formula>
    </cfRule>
  </conditionalFormatting>
  <conditionalFormatting sqref="L69">
    <cfRule type="expression" priority="196" dxfId="0" stopIfTrue="1">
      <formula>T69+U69&gt;0</formula>
    </cfRule>
    <cfRule type="expression" priority="197" dxfId="1" stopIfTrue="1">
      <formula>D69="Verlierer 5"</formula>
    </cfRule>
    <cfRule type="expression" priority="198" dxfId="1" stopIfTrue="1">
      <formula>E69="Verlierer 6"</formula>
    </cfRule>
  </conditionalFormatting>
  <conditionalFormatting sqref="L70">
    <cfRule type="expression" priority="199" dxfId="0" stopIfTrue="1">
      <formula>T70+U70&gt;0</formula>
    </cfRule>
    <cfRule type="expression" priority="200" dxfId="1" stopIfTrue="1">
      <formula>D70="Verlierer 7"</formula>
    </cfRule>
    <cfRule type="expression" priority="201" dxfId="1" stopIfTrue="1">
      <formula>E70="Verlierer 8"</formula>
    </cfRule>
  </conditionalFormatting>
  <conditionalFormatting sqref="L71">
    <cfRule type="expression" priority="202" dxfId="0" stopIfTrue="1">
      <formula>T71+U71&gt;0</formula>
    </cfRule>
    <cfRule type="expression" priority="203" dxfId="1" stopIfTrue="1">
      <formula>D71="Verlierer 9"</formula>
    </cfRule>
    <cfRule type="expression" priority="204" dxfId="1" stopIfTrue="1">
      <formula>E71="Verlierer 10"</formula>
    </cfRule>
  </conditionalFormatting>
  <conditionalFormatting sqref="L72">
    <cfRule type="expression" priority="205" dxfId="0" stopIfTrue="1">
      <formula>T72+U72&gt;0</formula>
    </cfRule>
    <cfRule type="expression" priority="206" dxfId="1" stopIfTrue="1">
      <formula>D72="Verlierer 11"</formula>
    </cfRule>
    <cfRule type="expression" priority="207" dxfId="1" stopIfTrue="1">
      <formula>E72="Verlierer 12"</formula>
    </cfRule>
  </conditionalFormatting>
  <conditionalFormatting sqref="L73">
    <cfRule type="expression" priority="208" dxfId="0" stopIfTrue="1">
      <formula>T73+U73&gt;0</formula>
    </cfRule>
    <cfRule type="expression" priority="209" dxfId="1" stopIfTrue="1">
      <formula>D73="Verlierer 13"</formula>
    </cfRule>
    <cfRule type="expression" priority="210" dxfId="1" stopIfTrue="1">
      <formula>E73="Verlierer 14"</formula>
    </cfRule>
  </conditionalFormatting>
  <conditionalFormatting sqref="L74">
    <cfRule type="expression" priority="211" dxfId="0" stopIfTrue="1">
      <formula>T74+U74&gt;0</formula>
    </cfRule>
    <cfRule type="expression" priority="212" dxfId="1" stopIfTrue="1">
      <formula>D74="Verlierer 15"</formula>
    </cfRule>
    <cfRule type="expression" priority="213" dxfId="1" stopIfTrue="1">
      <formula>E74="Verlierer 16"</formula>
    </cfRule>
  </conditionalFormatting>
  <conditionalFormatting sqref="L75">
    <cfRule type="expression" priority="214" dxfId="0" stopIfTrue="1">
      <formula>T75+U75&gt;0</formula>
    </cfRule>
    <cfRule type="expression" priority="215" dxfId="1" stopIfTrue="1">
      <formula>D75="Verlierer 17"</formula>
    </cfRule>
    <cfRule type="expression" priority="216" dxfId="1" stopIfTrue="1">
      <formula>E75="Verlierer 18"</formula>
    </cfRule>
  </conditionalFormatting>
  <conditionalFormatting sqref="L76">
    <cfRule type="expression" priority="217" dxfId="0" stopIfTrue="1">
      <formula>T76+U76&gt;0</formula>
    </cfRule>
    <cfRule type="expression" priority="218" dxfId="1" stopIfTrue="1">
      <formula>D76="Verlierer 19"</formula>
    </cfRule>
    <cfRule type="expression" priority="219" dxfId="1" stopIfTrue="1">
      <formula>E76="Verlierer 20"</formula>
    </cfRule>
  </conditionalFormatting>
  <conditionalFormatting sqref="L77">
    <cfRule type="expression" priority="220" dxfId="0" stopIfTrue="1">
      <formula>T77+U77&gt;0</formula>
    </cfRule>
    <cfRule type="expression" priority="221" dxfId="1" stopIfTrue="1">
      <formula>D77="Verlierer 21"</formula>
    </cfRule>
    <cfRule type="expression" priority="222" dxfId="1" stopIfTrue="1">
      <formula>E77="Verlierer 22"</formula>
    </cfRule>
  </conditionalFormatting>
  <conditionalFormatting sqref="L78">
    <cfRule type="expression" priority="223" dxfId="0" stopIfTrue="1">
      <formula>T78+U78&gt;0</formula>
    </cfRule>
    <cfRule type="expression" priority="224" dxfId="1" stopIfTrue="1">
      <formula>D78="Verlierer 23"</formula>
    </cfRule>
    <cfRule type="expression" priority="225" dxfId="1" stopIfTrue="1">
      <formula>E78="Verlierer 24"</formula>
    </cfRule>
  </conditionalFormatting>
  <conditionalFormatting sqref="L79">
    <cfRule type="expression" priority="226" dxfId="0" stopIfTrue="1">
      <formula>T79+U79&gt;0</formula>
    </cfRule>
    <cfRule type="expression" priority="227" dxfId="1" stopIfTrue="1">
      <formula>D79="Verlierer 25"</formula>
    </cfRule>
    <cfRule type="expression" priority="228" dxfId="1" stopIfTrue="1">
      <formula>E79="Verlierer 26"</formula>
    </cfRule>
  </conditionalFormatting>
  <conditionalFormatting sqref="L80">
    <cfRule type="expression" priority="229" dxfId="0" stopIfTrue="1">
      <formula>T80+U80&gt;0</formula>
    </cfRule>
    <cfRule type="expression" priority="230" dxfId="1" stopIfTrue="1">
      <formula>D80="Verlierer 27"</formula>
    </cfRule>
    <cfRule type="expression" priority="231" dxfId="1" stopIfTrue="1">
      <formula>E80="Verlierer 28"</formula>
    </cfRule>
  </conditionalFormatting>
  <conditionalFormatting sqref="L81">
    <cfRule type="expression" priority="232" dxfId="0" stopIfTrue="1">
      <formula>T81+U81&gt;0</formula>
    </cfRule>
    <cfRule type="expression" priority="233" dxfId="1" stopIfTrue="1">
      <formula>D81="Verlierer 29"</formula>
    </cfRule>
    <cfRule type="expression" priority="234" dxfId="1" stopIfTrue="1">
      <formula>E81="Verlierer 30"</formula>
    </cfRule>
  </conditionalFormatting>
  <conditionalFormatting sqref="L82">
    <cfRule type="expression" priority="235" dxfId="0" stopIfTrue="1">
      <formula>T82+U82&gt;0</formula>
    </cfRule>
    <cfRule type="expression" priority="236" dxfId="1" stopIfTrue="1">
      <formula>D82="Verlierer 31"</formula>
    </cfRule>
    <cfRule type="expression" priority="237" dxfId="1" stopIfTrue="1">
      <formula>E82="Verlierer 32"</formula>
    </cfRule>
  </conditionalFormatting>
  <conditionalFormatting sqref="L83">
    <cfRule type="expression" priority="238" dxfId="0" stopIfTrue="1">
      <formula>T83+U83&gt;0</formula>
    </cfRule>
    <cfRule type="expression" priority="239" dxfId="1" stopIfTrue="1">
      <formula>D83="Verlierer 33"</formula>
    </cfRule>
    <cfRule type="expression" priority="240" dxfId="1" stopIfTrue="1">
      <formula>E83="Verlierer 34"</formula>
    </cfRule>
  </conditionalFormatting>
  <conditionalFormatting sqref="L84">
    <cfRule type="expression" priority="241" dxfId="0" stopIfTrue="1">
      <formula>T84+U84&gt;0</formula>
    </cfRule>
    <cfRule type="expression" priority="242" dxfId="1" stopIfTrue="1">
      <formula>D84="Verlierer 35"</formula>
    </cfRule>
    <cfRule type="expression" priority="243" dxfId="1" stopIfTrue="1">
      <formula>E84="Verlierer 36"</formula>
    </cfRule>
  </conditionalFormatting>
  <conditionalFormatting sqref="L85">
    <cfRule type="expression" priority="244" dxfId="0" stopIfTrue="1">
      <formula>T85+U85&gt;0</formula>
    </cfRule>
    <cfRule type="expression" priority="245" dxfId="1" stopIfTrue="1">
      <formula>D85="Verlierer 37"</formula>
    </cfRule>
    <cfRule type="expression" priority="246" dxfId="1" stopIfTrue="1">
      <formula>E85="Verlierer 38"</formula>
    </cfRule>
  </conditionalFormatting>
  <conditionalFormatting sqref="L86">
    <cfRule type="expression" priority="247" dxfId="0" stopIfTrue="1">
      <formula>T86+U86&gt;0</formula>
    </cfRule>
    <cfRule type="expression" priority="248" dxfId="1" stopIfTrue="1">
      <formula>D86="Verlierer 39"</formula>
    </cfRule>
    <cfRule type="expression" priority="249" dxfId="1" stopIfTrue="1">
      <formula>E86="Verlierer 40"</formula>
    </cfRule>
  </conditionalFormatting>
  <conditionalFormatting sqref="L87">
    <cfRule type="expression" priority="250" dxfId="0" stopIfTrue="1">
      <formula>T87+U87&gt;0</formula>
    </cfRule>
    <cfRule type="expression" priority="251" dxfId="1" stopIfTrue="1">
      <formula>D87="Verlierer 41"</formula>
    </cfRule>
    <cfRule type="expression" priority="252" dxfId="1" stopIfTrue="1">
      <formula>E87="Verlierer 42"</formula>
    </cfRule>
  </conditionalFormatting>
  <conditionalFormatting sqref="L88">
    <cfRule type="expression" priority="253" dxfId="0" stopIfTrue="1">
      <formula>T88+U88&gt;0</formula>
    </cfRule>
    <cfRule type="expression" priority="254" dxfId="1" stopIfTrue="1">
      <formula>D88="Verlierer 43"</formula>
    </cfRule>
    <cfRule type="expression" priority="255" dxfId="1" stopIfTrue="1">
      <formula>E88="Verlierer 44"</formula>
    </cfRule>
  </conditionalFormatting>
  <conditionalFormatting sqref="L89">
    <cfRule type="expression" priority="256" dxfId="0" stopIfTrue="1">
      <formula>T89+U89&gt;0</formula>
    </cfRule>
    <cfRule type="expression" priority="257" dxfId="1" stopIfTrue="1">
      <formula>D89="Verlierer 45"</formula>
    </cfRule>
    <cfRule type="expression" priority="258" dxfId="1" stopIfTrue="1">
      <formula>E89="Verlierer 46"</formula>
    </cfRule>
  </conditionalFormatting>
  <conditionalFormatting sqref="L90">
    <cfRule type="expression" priority="259" dxfId="0" stopIfTrue="1">
      <formula>T90+U90&gt;0</formula>
    </cfRule>
    <cfRule type="expression" priority="260" dxfId="1" stopIfTrue="1">
      <formula>D90="Verlierer 47"</formula>
    </cfRule>
    <cfRule type="expression" priority="261" dxfId="1" stopIfTrue="1">
      <formula>E90="Verlierer 48"</formula>
    </cfRule>
  </conditionalFormatting>
  <conditionalFormatting sqref="L91">
    <cfRule type="expression" priority="262" dxfId="0" stopIfTrue="1">
      <formula>T91+U91&gt;0</formula>
    </cfRule>
    <cfRule type="expression" priority="263" dxfId="1" stopIfTrue="1">
      <formula>D91="Verlierer 49"</formula>
    </cfRule>
    <cfRule type="expression" priority="264" dxfId="1" stopIfTrue="1">
      <formula>E91="Verlierer 50"</formula>
    </cfRule>
  </conditionalFormatting>
  <conditionalFormatting sqref="L92">
    <cfRule type="expression" priority="265" dxfId="0" stopIfTrue="1">
      <formula>T92+U92&gt;0</formula>
    </cfRule>
    <cfRule type="expression" priority="266" dxfId="1" stopIfTrue="1">
      <formula>D92="Verlierer 51"</formula>
    </cfRule>
    <cfRule type="expression" priority="267" dxfId="1" stopIfTrue="1">
      <formula>E92="Verlierer 52"</formula>
    </cfRule>
  </conditionalFormatting>
  <conditionalFormatting sqref="L93">
    <cfRule type="expression" priority="268" dxfId="0" stopIfTrue="1">
      <formula>T93+U93&gt;0</formula>
    </cfRule>
    <cfRule type="expression" priority="269" dxfId="1" stopIfTrue="1">
      <formula>D93="Verlierer 53"</formula>
    </cfRule>
    <cfRule type="expression" priority="270" dxfId="1" stopIfTrue="1">
      <formula>E93="Verlierer 54"</formula>
    </cfRule>
  </conditionalFormatting>
  <conditionalFormatting sqref="L94">
    <cfRule type="expression" priority="271" dxfId="0" stopIfTrue="1">
      <formula>T94+U94&gt;0</formula>
    </cfRule>
    <cfRule type="expression" priority="272" dxfId="1" stopIfTrue="1">
      <formula>D94="Verlierer 55"</formula>
    </cfRule>
    <cfRule type="expression" priority="273" dxfId="1" stopIfTrue="1">
      <formula>E94="Verlierer 56"</formula>
    </cfRule>
  </conditionalFormatting>
  <conditionalFormatting sqref="L95">
    <cfRule type="expression" priority="274" dxfId="0" stopIfTrue="1">
      <formula>T95+U95&gt;0</formula>
    </cfRule>
    <cfRule type="expression" priority="275" dxfId="1" stopIfTrue="1">
      <formula>D95="Verlierer 57"</formula>
    </cfRule>
    <cfRule type="expression" priority="276" dxfId="1" stopIfTrue="1">
      <formula>E95="Verlierer 58"</formula>
    </cfRule>
  </conditionalFormatting>
  <conditionalFormatting sqref="L96">
    <cfRule type="expression" priority="277" dxfId="0" stopIfTrue="1">
      <formula>T96+U96&gt;0</formula>
    </cfRule>
    <cfRule type="expression" priority="278" dxfId="1" stopIfTrue="1">
      <formula>D96="Verlierer 59"</formula>
    </cfRule>
    <cfRule type="expression" priority="279" dxfId="1" stopIfTrue="1">
      <formula>E96="Verlierer 60"</formula>
    </cfRule>
  </conditionalFormatting>
  <conditionalFormatting sqref="L97">
    <cfRule type="expression" priority="280" dxfId="0" stopIfTrue="1">
      <formula>T97+U97&gt;0</formula>
    </cfRule>
    <cfRule type="expression" priority="281" dxfId="1" stopIfTrue="1">
      <formula>D97="Verlierer 61"</formula>
    </cfRule>
    <cfRule type="expression" priority="282" dxfId="1" stopIfTrue="1">
      <formula>E97="Verlierer 62"</formula>
    </cfRule>
  </conditionalFormatting>
  <conditionalFormatting sqref="L98">
    <cfRule type="expression" priority="283" dxfId="0" stopIfTrue="1">
      <formula>T98+U98&gt;0</formula>
    </cfRule>
    <cfRule type="expression" priority="284" dxfId="1" stopIfTrue="1">
      <formula>D98="Verlierer 63"</formula>
    </cfRule>
    <cfRule type="expression" priority="285" dxfId="1" stopIfTrue="1">
      <formula>E98="Verlierer 64"</formula>
    </cfRule>
  </conditionalFormatting>
  <conditionalFormatting sqref="L100">
    <cfRule type="expression" priority="286" dxfId="0" stopIfTrue="1">
      <formula>T100+U100&gt;0</formula>
    </cfRule>
    <cfRule type="expression" priority="287" dxfId="1" stopIfTrue="1">
      <formula>D100="Sieger 3"</formula>
    </cfRule>
    <cfRule type="expression" priority="288" dxfId="1" stopIfTrue="1">
      <formula>E100="Sieger 4"</formula>
    </cfRule>
  </conditionalFormatting>
  <conditionalFormatting sqref="L101">
    <cfRule type="expression" priority="289" dxfId="0" stopIfTrue="1">
      <formula>T101+U101&gt;0</formula>
    </cfRule>
    <cfRule type="expression" priority="290" dxfId="1" stopIfTrue="1">
      <formula>D101="Sieger 5"</formula>
    </cfRule>
    <cfRule type="expression" priority="291" dxfId="1" stopIfTrue="1">
      <formula>E101="Sieger 6"</formula>
    </cfRule>
  </conditionalFormatting>
  <conditionalFormatting sqref="L102">
    <cfRule type="expression" priority="292" dxfId="0" stopIfTrue="1">
      <formula>T102+U102&gt;0</formula>
    </cfRule>
    <cfRule type="expression" priority="293" dxfId="1" stopIfTrue="1">
      <formula>D102="Sieger 7"</formula>
    </cfRule>
    <cfRule type="expression" priority="294" dxfId="1" stopIfTrue="1">
      <formula>E102="Sieger 8"</formula>
    </cfRule>
  </conditionalFormatting>
  <conditionalFormatting sqref="L103">
    <cfRule type="expression" priority="295" dxfId="0" stopIfTrue="1">
      <formula>T103+U103&gt;0</formula>
    </cfRule>
    <cfRule type="expression" priority="296" dxfId="1" stopIfTrue="1">
      <formula>D103="Sieger 9"</formula>
    </cfRule>
    <cfRule type="expression" priority="297" dxfId="1" stopIfTrue="1">
      <formula>E103="Sieger 10"</formula>
    </cfRule>
  </conditionalFormatting>
  <conditionalFormatting sqref="L104">
    <cfRule type="expression" priority="298" dxfId="0" stopIfTrue="1">
      <formula>T104+U104&gt;0</formula>
    </cfRule>
    <cfRule type="expression" priority="299" dxfId="1" stopIfTrue="1">
      <formula>D104="Sieger 11"</formula>
    </cfRule>
    <cfRule type="expression" priority="300" dxfId="1" stopIfTrue="1">
      <formula>E104="Sieger 12"</formula>
    </cfRule>
  </conditionalFormatting>
  <conditionalFormatting sqref="L105">
    <cfRule type="expression" priority="301" dxfId="0" stopIfTrue="1">
      <formula>T105+U105&gt;0</formula>
    </cfRule>
    <cfRule type="expression" priority="302" dxfId="1" stopIfTrue="1">
      <formula>D105="Sieger 13"</formula>
    </cfRule>
    <cfRule type="expression" priority="303" dxfId="1" stopIfTrue="1">
      <formula>E105="Sieger 14"</formula>
    </cfRule>
  </conditionalFormatting>
  <conditionalFormatting sqref="L106">
    <cfRule type="expression" priority="304" dxfId="0" stopIfTrue="1">
      <formula>T106+U106&gt;0</formula>
    </cfRule>
    <cfRule type="expression" priority="305" dxfId="1" stopIfTrue="1">
      <formula>D106="Sieger 15"</formula>
    </cfRule>
    <cfRule type="expression" priority="306" dxfId="1" stopIfTrue="1">
      <formula>E106="Sieger 16"</formula>
    </cfRule>
  </conditionalFormatting>
  <conditionalFormatting sqref="L107">
    <cfRule type="expression" priority="307" dxfId="0" stopIfTrue="1">
      <formula>T107+U107&gt;0</formula>
    </cfRule>
    <cfRule type="expression" priority="308" dxfId="1" stopIfTrue="1">
      <formula>D107="Sieger 17"</formula>
    </cfRule>
    <cfRule type="expression" priority="309" dxfId="1" stopIfTrue="1">
      <formula>E107="Sieger 18"</formula>
    </cfRule>
  </conditionalFormatting>
  <conditionalFormatting sqref="L108">
    <cfRule type="expression" priority="310" dxfId="0" stopIfTrue="1">
      <formula>T108+U108&gt;0</formula>
    </cfRule>
    <cfRule type="expression" priority="311" dxfId="1" stopIfTrue="1">
      <formula>D108="Sieger 19"</formula>
    </cfRule>
    <cfRule type="expression" priority="312" dxfId="1" stopIfTrue="1">
      <formula>E108="Sieger 20"</formula>
    </cfRule>
  </conditionalFormatting>
  <conditionalFormatting sqref="L109">
    <cfRule type="expression" priority="313" dxfId="0" stopIfTrue="1">
      <formula>T109+U109&gt;0</formula>
    </cfRule>
    <cfRule type="expression" priority="314" dxfId="1" stopIfTrue="1">
      <formula>D109="Sieger 21"</formula>
    </cfRule>
    <cfRule type="expression" priority="315" dxfId="1" stopIfTrue="1">
      <formula>E109="Sieger 22"</formula>
    </cfRule>
  </conditionalFormatting>
  <conditionalFormatting sqref="L110">
    <cfRule type="expression" priority="316" dxfId="0" stopIfTrue="1">
      <formula>T110+U110&gt;0</formula>
    </cfRule>
    <cfRule type="expression" priority="317" dxfId="1" stopIfTrue="1">
      <formula>D110="Sieger 23"</formula>
    </cfRule>
    <cfRule type="expression" priority="318" dxfId="1" stopIfTrue="1">
      <formula>E110="Sieger 24"</formula>
    </cfRule>
  </conditionalFormatting>
  <conditionalFormatting sqref="L111">
    <cfRule type="expression" priority="319" dxfId="0" stopIfTrue="1">
      <formula>T111+U111&gt;0</formula>
    </cfRule>
    <cfRule type="expression" priority="320" dxfId="1" stopIfTrue="1">
      <formula>D111="Sieger 25"</formula>
    </cfRule>
    <cfRule type="expression" priority="321" dxfId="1" stopIfTrue="1">
      <formula>E111="Sieger 26"</formula>
    </cfRule>
  </conditionalFormatting>
  <conditionalFormatting sqref="L112">
    <cfRule type="expression" priority="322" dxfId="0" stopIfTrue="1">
      <formula>T112+U112&gt;0</formula>
    </cfRule>
    <cfRule type="expression" priority="323" dxfId="1" stopIfTrue="1">
      <formula>D112="Sieger 27"</formula>
    </cfRule>
    <cfRule type="expression" priority="324" dxfId="1" stopIfTrue="1">
      <formula>E112="Sieger 28"</formula>
    </cfRule>
  </conditionalFormatting>
  <conditionalFormatting sqref="L113">
    <cfRule type="expression" priority="325" dxfId="0" stopIfTrue="1">
      <formula>T113+U113&gt;0</formula>
    </cfRule>
    <cfRule type="expression" priority="326" dxfId="1" stopIfTrue="1">
      <formula>D113="Sieger 29"</formula>
    </cfRule>
    <cfRule type="expression" priority="327" dxfId="1" stopIfTrue="1">
      <formula>E113="Sieger 30"</formula>
    </cfRule>
  </conditionalFormatting>
  <conditionalFormatting sqref="L114">
    <cfRule type="expression" priority="328" dxfId="0" stopIfTrue="1">
      <formula>T114+U114&gt;0</formula>
    </cfRule>
    <cfRule type="expression" priority="329" dxfId="1" stopIfTrue="1">
      <formula>D114="Sieger 31"</formula>
    </cfRule>
    <cfRule type="expression" priority="330" dxfId="1" stopIfTrue="1">
      <formula>E114="Sieger 32"</formula>
    </cfRule>
  </conditionalFormatting>
  <conditionalFormatting sqref="L115">
    <cfRule type="expression" priority="331" dxfId="0" stopIfTrue="1">
      <formula>T115+U115&gt;0</formula>
    </cfRule>
    <cfRule type="expression" priority="332" dxfId="1" stopIfTrue="1">
      <formula>D115="Sieger 33"</formula>
    </cfRule>
    <cfRule type="expression" priority="333" dxfId="1" stopIfTrue="1">
      <formula>E115="Sieger 34"</formula>
    </cfRule>
  </conditionalFormatting>
  <conditionalFormatting sqref="L116">
    <cfRule type="expression" priority="334" dxfId="0" stopIfTrue="1">
      <formula>T116+U116&gt;0</formula>
    </cfRule>
    <cfRule type="expression" priority="335" dxfId="1" stopIfTrue="1">
      <formula>D116="Sieger 35"</formula>
    </cfRule>
    <cfRule type="expression" priority="336" dxfId="1" stopIfTrue="1">
      <formula>E116="Sieger 36"</formula>
    </cfRule>
  </conditionalFormatting>
  <conditionalFormatting sqref="L117">
    <cfRule type="expression" priority="337" dxfId="0" stopIfTrue="1">
      <formula>T117+U117&gt;0</formula>
    </cfRule>
    <cfRule type="expression" priority="338" dxfId="1" stopIfTrue="1">
      <formula>D117="Sieger 37"</formula>
    </cfRule>
    <cfRule type="expression" priority="339" dxfId="1" stopIfTrue="1">
      <formula>E117="Sieger 38"</formula>
    </cfRule>
  </conditionalFormatting>
  <conditionalFormatting sqref="L118">
    <cfRule type="expression" priority="340" dxfId="0" stopIfTrue="1">
      <formula>T118+U118&gt;0</formula>
    </cfRule>
    <cfRule type="expression" priority="341" dxfId="1" stopIfTrue="1">
      <formula>D118="Sieger 39"</formula>
    </cfRule>
    <cfRule type="expression" priority="342" dxfId="1" stopIfTrue="1">
      <formula>E118="Sieger 40"</formula>
    </cfRule>
  </conditionalFormatting>
  <conditionalFormatting sqref="L119">
    <cfRule type="expression" priority="343" dxfId="0" stopIfTrue="1">
      <formula>T119+U119&gt;0</formula>
    </cfRule>
    <cfRule type="expression" priority="344" dxfId="1" stopIfTrue="1">
      <formula>D119="Sieger 41"</formula>
    </cfRule>
    <cfRule type="expression" priority="345" dxfId="1" stopIfTrue="1">
      <formula>E119="Sieger 42"</formula>
    </cfRule>
  </conditionalFormatting>
  <conditionalFormatting sqref="L120">
    <cfRule type="expression" priority="346" dxfId="0" stopIfTrue="1">
      <formula>T120+U120&gt;0</formula>
    </cfRule>
    <cfRule type="expression" priority="347" dxfId="1" stopIfTrue="1">
      <formula>D120="Sieger 43"</formula>
    </cfRule>
    <cfRule type="expression" priority="348" dxfId="1" stopIfTrue="1">
      <formula>E120="Sieger 44"</formula>
    </cfRule>
  </conditionalFormatting>
  <conditionalFormatting sqref="L121">
    <cfRule type="expression" priority="349" dxfId="0" stopIfTrue="1">
      <formula>T121+U121&gt;0</formula>
    </cfRule>
    <cfRule type="expression" priority="350" dxfId="1" stopIfTrue="1">
      <formula>D121="Sieger 45"</formula>
    </cfRule>
    <cfRule type="expression" priority="351" dxfId="1" stopIfTrue="1">
      <formula>E121="Sieger 46"</formula>
    </cfRule>
  </conditionalFormatting>
  <conditionalFormatting sqref="L122">
    <cfRule type="expression" priority="352" dxfId="0" stopIfTrue="1">
      <formula>T122+U122&gt;0</formula>
    </cfRule>
    <cfRule type="expression" priority="353" dxfId="1" stopIfTrue="1">
      <formula>D122="Sieger 47"</formula>
    </cfRule>
    <cfRule type="expression" priority="354" dxfId="1" stopIfTrue="1">
      <formula>E122="Sieger 48"</formula>
    </cfRule>
  </conditionalFormatting>
  <conditionalFormatting sqref="L123">
    <cfRule type="expression" priority="355" dxfId="0" stopIfTrue="1">
      <formula>T123+U123&gt;0</formula>
    </cfRule>
    <cfRule type="expression" priority="356" dxfId="1" stopIfTrue="1">
      <formula>D123="Sieger 49"</formula>
    </cfRule>
    <cfRule type="expression" priority="357" dxfId="1" stopIfTrue="1">
      <formula>E123="Sieger 50"</formula>
    </cfRule>
  </conditionalFormatting>
  <conditionalFormatting sqref="L124">
    <cfRule type="expression" priority="358" dxfId="0" stopIfTrue="1">
      <formula>T124+U124&gt;0</formula>
    </cfRule>
    <cfRule type="expression" priority="359" dxfId="1" stopIfTrue="1">
      <formula>D124="Sieger 51"</formula>
    </cfRule>
    <cfRule type="expression" priority="360" dxfId="1" stopIfTrue="1">
      <formula>E124="Sieger 52"</formula>
    </cfRule>
  </conditionalFormatting>
  <conditionalFormatting sqref="L125">
    <cfRule type="expression" priority="361" dxfId="0" stopIfTrue="1">
      <formula>T125+U125&gt;0</formula>
    </cfRule>
    <cfRule type="expression" priority="362" dxfId="1" stopIfTrue="1">
      <formula>D125="Sieger 53"</formula>
    </cfRule>
    <cfRule type="expression" priority="363" dxfId="1" stopIfTrue="1">
      <formula>E125="Sieger 54"</formula>
    </cfRule>
  </conditionalFormatting>
  <conditionalFormatting sqref="L126">
    <cfRule type="expression" priority="364" dxfId="0" stopIfTrue="1">
      <formula>T126+U126&gt;0</formula>
    </cfRule>
    <cfRule type="expression" priority="365" dxfId="1" stopIfTrue="1">
      <formula>D126="Sieger 55"</formula>
    </cfRule>
    <cfRule type="expression" priority="366" dxfId="1" stopIfTrue="1">
      <formula>E126="Sieger 56"</formula>
    </cfRule>
  </conditionalFormatting>
  <conditionalFormatting sqref="L127">
    <cfRule type="expression" priority="367" dxfId="0" stopIfTrue="1">
      <formula>T127+U127&gt;0</formula>
    </cfRule>
    <cfRule type="expression" priority="368" dxfId="1" stopIfTrue="1">
      <formula>D127="Sieger 57"</formula>
    </cfRule>
    <cfRule type="expression" priority="369" dxfId="1" stopIfTrue="1">
      <formula>E127="Sieger 58"</formula>
    </cfRule>
  </conditionalFormatting>
  <conditionalFormatting sqref="L128">
    <cfRule type="expression" priority="370" dxfId="0" stopIfTrue="1">
      <formula>T128+U128&gt;0</formula>
    </cfRule>
    <cfRule type="expression" priority="371" dxfId="1" stopIfTrue="1">
      <formula>D128="Sieger 59"</formula>
    </cfRule>
    <cfRule type="expression" priority="372" dxfId="1" stopIfTrue="1">
      <formula>E128="Sieger 60"</formula>
    </cfRule>
  </conditionalFormatting>
  <conditionalFormatting sqref="L129">
    <cfRule type="expression" priority="373" dxfId="0" stopIfTrue="1">
      <formula>T129+U129&gt;0</formula>
    </cfRule>
    <cfRule type="expression" priority="374" dxfId="1" stopIfTrue="1">
      <formula>D129="Sieger 61"</formula>
    </cfRule>
    <cfRule type="expression" priority="375" dxfId="1" stopIfTrue="1">
      <formula>E129="Sieger 62"</formula>
    </cfRule>
  </conditionalFormatting>
  <conditionalFormatting sqref="L130">
    <cfRule type="expression" priority="376" dxfId="0" stopIfTrue="1">
      <formula>T130+U130&gt;0</formula>
    </cfRule>
    <cfRule type="expression" priority="377" dxfId="1" stopIfTrue="1">
      <formula>D130="Sieger 63"</formula>
    </cfRule>
    <cfRule type="expression" priority="378" dxfId="1" stopIfTrue="1">
      <formula>E130="Sieger 64"</formula>
    </cfRule>
  </conditionalFormatting>
  <conditionalFormatting sqref="L131">
    <cfRule type="expression" priority="379" dxfId="0" stopIfTrue="1">
      <formula>T131+U131&gt;0</formula>
    </cfRule>
    <cfRule type="expression" priority="380" dxfId="1" stopIfTrue="1">
      <formula>D131="Sieger 65"</formula>
    </cfRule>
    <cfRule type="expression" priority="381" dxfId="1" stopIfTrue="1">
      <formula>E131="Verlierer 112"</formula>
    </cfRule>
  </conditionalFormatting>
  <conditionalFormatting sqref="L132">
    <cfRule type="expression" priority="382" dxfId="0" stopIfTrue="1">
      <formula>T132+U132&gt;0</formula>
    </cfRule>
    <cfRule type="expression" priority="383" dxfId="1" stopIfTrue="1">
      <formula>D132="Sieger 66"</formula>
    </cfRule>
    <cfRule type="expression" priority="384" dxfId="1" stopIfTrue="1">
      <formula>E132="Verlierer 111"</formula>
    </cfRule>
  </conditionalFormatting>
  <conditionalFormatting sqref="L133">
    <cfRule type="expression" priority="385" dxfId="0" stopIfTrue="1">
      <formula>T133+U133&gt;0</formula>
    </cfRule>
    <cfRule type="expression" priority="386" dxfId="1" stopIfTrue="1">
      <formula>D133="Sieger 67"</formula>
    </cfRule>
    <cfRule type="expression" priority="387" dxfId="1" stopIfTrue="1">
      <formula>E133="Verlierer 110"</formula>
    </cfRule>
  </conditionalFormatting>
  <conditionalFormatting sqref="L134">
    <cfRule type="expression" priority="388" dxfId="0" stopIfTrue="1">
      <formula>T134+U134&gt;0</formula>
    </cfRule>
    <cfRule type="expression" priority="389" dxfId="1" stopIfTrue="1">
      <formula>D134="Sieger 68"</formula>
    </cfRule>
    <cfRule type="expression" priority="390" dxfId="1" stopIfTrue="1">
      <formula>E134="Verlierer 109"</formula>
    </cfRule>
  </conditionalFormatting>
  <conditionalFormatting sqref="L135">
    <cfRule type="expression" priority="391" dxfId="0" stopIfTrue="1">
      <formula>T135+U135&gt;0</formula>
    </cfRule>
    <cfRule type="expression" priority="392" dxfId="1" stopIfTrue="1">
      <formula>D135="Sieger 69"</formula>
    </cfRule>
    <cfRule type="expression" priority="393" dxfId="1" stopIfTrue="1">
      <formula>E135="Verlierer 108"</formula>
    </cfRule>
  </conditionalFormatting>
  <conditionalFormatting sqref="L136">
    <cfRule type="expression" priority="394" dxfId="0" stopIfTrue="1">
      <formula>T136+U136&gt;0</formula>
    </cfRule>
    <cfRule type="expression" priority="395" dxfId="1" stopIfTrue="1">
      <formula>D136="Sieger 70"</formula>
    </cfRule>
    <cfRule type="expression" priority="396" dxfId="1" stopIfTrue="1">
      <formula>E136="Verlierer 107"</formula>
    </cfRule>
  </conditionalFormatting>
  <conditionalFormatting sqref="L137">
    <cfRule type="expression" priority="397" dxfId="0" stopIfTrue="1">
      <formula>T137+U137&gt;0</formula>
    </cfRule>
    <cfRule type="expression" priority="398" dxfId="1" stopIfTrue="1">
      <formula>D137="Sieger 71"</formula>
    </cfRule>
    <cfRule type="expression" priority="399" dxfId="1" stopIfTrue="1">
      <formula>E137="Verlierer 106"</formula>
    </cfRule>
  </conditionalFormatting>
  <conditionalFormatting sqref="L138">
    <cfRule type="expression" priority="400" dxfId="0" stopIfTrue="1">
      <formula>T138+U138&gt;0</formula>
    </cfRule>
    <cfRule type="expression" priority="401" dxfId="1" stopIfTrue="1">
      <formula>D138="Sieger 72"</formula>
    </cfRule>
    <cfRule type="expression" priority="402" dxfId="1" stopIfTrue="1">
      <formula>E138="Verlierer 105"</formula>
    </cfRule>
  </conditionalFormatting>
  <conditionalFormatting sqref="L139">
    <cfRule type="expression" priority="403" dxfId="0" stopIfTrue="1">
      <formula>T139+U139&gt;0</formula>
    </cfRule>
    <cfRule type="expression" priority="404" dxfId="1" stopIfTrue="1">
      <formula>D139="Sieger 73"</formula>
    </cfRule>
    <cfRule type="expression" priority="405" dxfId="1" stopIfTrue="1">
      <formula>E139="Verlierer 104"</formula>
    </cfRule>
  </conditionalFormatting>
  <conditionalFormatting sqref="L140">
    <cfRule type="expression" priority="406" dxfId="0" stopIfTrue="1">
      <formula>T140+U140&gt;0</formula>
    </cfRule>
    <cfRule type="expression" priority="407" dxfId="1" stopIfTrue="1">
      <formula>D140="Sieger 74"</formula>
    </cfRule>
    <cfRule type="expression" priority="408" dxfId="1" stopIfTrue="1">
      <formula>E140="Verlierer 103"</formula>
    </cfRule>
  </conditionalFormatting>
  <conditionalFormatting sqref="L141">
    <cfRule type="expression" priority="409" dxfId="0" stopIfTrue="1">
      <formula>T141+U141&gt;0</formula>
    </cfRule>
    <cfRule type="expression" priority="410" dxfId="1" stopIfTrue="1">
      <formula>D141="Sieger 75"</formula>
    </cfRule>
    <cfRule type="expression" priority="411" dxfId="1" stopIfTrue="1">
      <formula>E141="Verlierer 102"</formula>
    </cfRule>
  </conditionalFormatting>
  <conditionalFormatting sqref="L142">
    <cfRule type="expression" priority="412" dxfId="0" stopIfTrue="1">
      <formula>T142+U142&gt;0</formula>
    </cfRule>
    <cfRule type="expression" priority="413" dxfId="1" stopIfTrue="1">
      <formula>D142="Sieger 76"</formula>
    </cfRule>
    <cfRule type="expression" priority="414" dxfId="1" stopIfTrue="1">
      <formula>E142="Verlierer 101"</formula>
    </cfRule>
  </conditionalFormatting>
  <conditionalFormatting sqref="L143">
    <cfRule type="expression" priority="415" dxfId="0" stopIfTrue="1">
      <formula>T143+U143&gt;0</formula>
    </cfRule>
    <cfRule type="expression" priority="416" dxfId="1" stopIfTrue="1">
      <formula>D143="Sieger 77"</formula>
    </cfRule>
    <cfRule type="expression" priority="417" dxfId="1" stopIfTrue="1">
      <formula>E143="Verlierer 100"</formula>
    </cfRule>
  </conditionalFormatting>
  <conditionalFormatting sqref="L144">
    <cfRule type="expression" priority="418" dxfId="0" stopIfTrue="1">
      <formula>T144+U144&gt;0</formula>
    </cfRule>
    <cfRule type="expression" priority="419" dxfId="1" stopIfTrue="1">
      <formula>D144="Sieger 78"</formula>
    </cfRule>
    <cfRule type="expression" priority="420" dxfId="1" stopIfTrue="1">
      <formula>E144="Verlierer 99"</formula>
    </cfRule>
  </conditionalFormatting>
  <conditionalFormatting sqref="L145">
    <cfRule type="expression" priority="421" dxfId="0" stopIfTrue="1">
      <formula>T145+U145&gt;0</formula>
    </cfRule>
    <cfRule type="expression" priority="422" dxfId="1" stopIfTrue="1">
      <formula>D145="Sieger 79"</formula>
    </cfRule>
    <cfRule type="expression" priority="423" dxfId="1" stopIfTrue="1">
      <formula>E145="Verlierer 98"</formula>
    </cfRule>
  </conditionalFormatting>
  <conditionalFormatting sqref="L146">
    <cfRule type="expression" priority="424" dxfId="0" stopIfTrue="1">
      <formula>T146+U146&gt;0</formula>
    </cfRule>
    <cfRule type="expression" priority="425" dxfId="1" stopIfTrue="1">
      <formula>D146="Sieger 80"</formula>
    </cfRule>
    <cfRule type="expression" priority="426" dxfId="1" stopIfTrue="1">
      <formula>E146="Verlierer 97"</formula>
    </cfRule>
  </conditionalFormatting>
  <conditionalFormatting sqref="L147">
    <cfRule type="expression" priority="427" dxfId="0" stopIfTrue="1">
      <formula>T147+U147&gt;0</formula>
    </cfRule>
    <cfRule type="expression" priority="428" dxfId="1" stopIfTrue="1">
      <formula>D147="Sieger 81"</formula>
    </cfRule>
    <cfRule type="expression" priority="429" dxfId="1" stopIfTrue="1">
      <formula>E147="Verlierer 128"</formula>
    </cfRule>
  </conditionalFormatting>
  <conditionalFormatting sqref="L148">
    <cfRule type="expression" priority="430" dxfId="0" stopIfTrue="1">
      <formula>T148+U148&gt;0</formula>
    </cfRule>
    <cfRule type="expression" priority="431" dxfId="1" stopIfTrue="1">
      <formula>D148="Sieger 82"</formula>
    </cfRule>
    <cfRule type="expression" priority="432" dxfId="1" stopIfTrue="1">
      <formula>E148="Verlierer 127"</formula>
    </cfRule>
  </conditionalFormatting>
  <conditionalFormatting sqref="L149">
    <cfRule type="expression" priority="433" dxfId="0" stopIfTrue="1">
      <formula>T149+U149&gt;0</formula>
    </cfRule>
    <cfRule type="expression" priority="434" dxfId="1" stopIfTrue="1">
      <formula>D149="Sieger 83"</formula>
    </cfRule>
    <cfRule type="expression" priority="435" dxfId="1" stopIfTrue="1">
      <formula>E149="Verlierer 126"</formula>
    </cfRule>
  </conditionalFormatting>
  <conditionalFormatting sqref="L150">
    <cfRule type="expression" priority="436" dxfId="0" stopIfTrue="1">
      <formula>T150+U150&gt;0</formula>
    </cfRule>
    <cfRule type="expression" priority="437" dxfId="1" stopIfTrue="1">
      <formula>D150="Sieger 84"</formula>
    </cfRule>
    <cfRule type="expression" priority="438" dxfId="1" stopIfTrue="1">
      <formula>E150="Verlierer 125"</formula>
    </cfRule>
  </conditionalFormatting>
  <conditionalFormatting sqref="L151">
    <cfRule type="expression" priority="439" dxfId="0" stopIfTrue="1">
      <formula>T151+U151&gt;0</formula>
    </cfRule>
    <cfRule type="expression" priority="440" dxfId="1" stopIfTrue="1">
      <formula>D151="Sieger 85"</formula>
    </cfRule>
    <cfRule type="expression" priority="441" dxfId="1" stopIfTrue="1">
      <formula>E151="Verlierer 124"</formula>
    </cfRule>
  </conditionalFormatting>
  <conditionalFormatting sqref="L152">
    <cfRule type="expression" priority="442" dxfId="0" stopIfTrue="1">
      <formula>T152+U152&gt;0</formula>
    </cfRule>
    <cfRule type="expression" priority="443" dxfId="1" stopIfTrue="1">
      <formula>D152="Sieger 86"</formula>
    </cfRule>
    <cfRule type="expression" priority="444" dxfId="1" stopIfTrue="1">
      <formula>E152="Verlierer 123"</formula>
    </cfRule>
  </conditionalFormatting>
  <conditionalFormatting sqref="L153">
    <cfRule type="expression" priority="445" dxfId="0" stopIfTrue="1">
      <formula>T153+U153&gt;0</formula>
    </cfRule>
    <cfRule type="expression" priority="446" dxfId="1" stopIfTrue="1">
      <formula>D153="Sieger 87"</formula>
    </cfRule>
    <cfRule type="expression" priority="447" dxfId="1" stopIfTrue="1">
      <formula>E153="Verlierer 122"</formula>
    </cfRule>
  </conditionalFormatting>
  <conditionalFormatting sqref="L154">
    <cfRule type="expression" priority="448" dxfId="0" stopIfTrue="1">
      <formula>T154+U154&gt;0</formula>
    </cfRule>
    <cfRule type="expression" priority="449" dxfId="1" stopIfTrue="1">
      <formula>D154="Sieger 88"</formula>
    </cfRule>
    <cfRule type="expression" priority="450" dxfId="1" stopIfTrue="1">
      <formula>E154="Verlierer 121"</formula>
    </cfRule>
  </conditionalFormatting>
  <conditionalFormatting sqref="L155">
    <cfRule type="expression" priority="451" dxfId="0" stopIfTrue="1">
      <formula>T155+U155&gt;0</formula>
    </cfRule>
    <cfRule type="expression" priority="452" dxfId="1" stopIfTrue="1">
      <formula>D155="Sieger 89"</formula>
    </cfRule>
    <cfRule type="expression" priority="453" dxfId="1" stopIfTrue="1">
      <formula>E155="Verlierer 120"</formula>
    </cfRule>
  </conditionalFormatting>
  <conditionalFormatting sqref="L156">
    <cfRule type="expression" priority="454" dxfId="0" stopIfTrue="1">
      <formula>T156+U156&gt;0</formula>
    </cfRule>
    <cfRule type="expression" priority="455" dxfId="1" stopIfTrue="1">
      <formula>D156="Sieger 90"</formula>
    </cfRule>
    <cfRule type="expression" priority="456" dxfId="1" stopIfTrue="1">
      <formula>E156="Verlierer 119"</formula>
    </cfRule>
  </conditionalFormatting>
  <conditionalFormatting sqref="L157">
    <cfRule type="expression" priority="457" dxfId="0" stopIfTrue="1">
      <formula>T157+U157&gt;0</formula>
    </cfRule>
    <cfRule type="expression" priority="458" dxfId="1" stopIfTrue="1">
      <formula>D157="Sieger 91"</formula>
    </cfRule>
    <cfRule type="expression" priority="459" dxfId="1" stopIfTrue="1">
      <formula>E157="Verlierer 118"</formula>
    </cfRule>
  </conditionalFormatting>
  <conditionalFormatting sqref="L158">
    <cfRule type="expression" priority="460" dxfId="0" stopIfTrue="1">
      <formula>T158+U158&gt;0</formula>
    </cfRule>
    <cfRule type="expression" priority="461" dxfId="1" stopIfTrue="1">
      <formula>D158="Sieger 92"</formula>
    </cfRule>
    <cfRule type="expression" priority="462" dxfId="1" stopIfTrue="1">
      <formula>E158="Verlierer 117"</formula>
    </cfRule>
  </conditionalFormatting>
  <conditionalFormatting sqref="L159">
    <cfRule type="expression" priority="463" dxfId="0" stopIfTrue="1">
      <formula>T159+U159&gt;0</formula>
    </cfRule>
    <cfRule type="expression" priority="464" dxfId="1" stopIfTrue="1">
      <formula>D159="Sieger 93"</formula>
    </cfRule>
    <cfRule type="expression" priority="465" dxfId="1" stopIfTrue="1">
      <formula>E159="Verlierer 116"</formula>
    </cfRule>
  </conditionalFormatting>
  <conditionalFormatting sqref="L160">
    <cfRule type="expression" priority="466" dxfId="0" stopIfTrue="1">
      <formula>T160+U160&gt;0</formula>
    </cfRule>
    <cfRule type="expression" priority="467" dxfId="1" stopIfTrue="1">
      <formula>D160="Sieger 94"</formula>
    </cfRule>
    <cfRule type="expression" priority="468" dxfId="1" stopIfTrue="1">
      <formula>E160="Verlierer 115"</formula>
    </cfRule>
  </conditionalFormatting>
  <conditionalFormatting sqref="L161">
    <cfRule type="expression" priority="469" dxfId="0" stopIfTrue="1">
      <formula>T161+U161&gt;0</formula>
    </cfRule>
    <cfRule type="expression" priority="470" dxfId="1" stopIfTrue="1">
      <formula>D161="Sieger 95"</formula>
    </cfRule>
    <cfRule type="expression" priority="471" dxfId="1" stopIfTrue="1">
      <formula>E161="Verlierer 114"</formula>
    </cfRule>
  </conditionalFormatting>
  <conditionalFormatting sqref="L162">
    <cfRule type="expression" priority="472" dxfId="0" stopIfTrue="1">
      <formula>T162+U162&gt;0</formula>
    </cfRule>
    <cfRule type="expression" priority="473" dxfId="1" stopIfTrue="1">
      <formula>D162="Sieger 96"</formula>
    </cfRule>
    <cfRule type="expression" priority="474" dxfId="1" stopIfTrue="1">
      <formula>E162="Verlierer 113"</formula>
    </cfRule>
  </conditionalFormatting>
  <conditionalFormatting sqref="L163">
    <cfRule type="expression" priority="475" dxfId="0" stopIfTrue="1">
      <formula>T163+U163&gt;0</formula>
    </cfRule>
    <cfRule type="expression" priority="476" dxfId="1" stopIfTrue="1">
      <formula>D163="Sieger 129"</formula>
    </cfRule>
    <cfRule type="expression" priority="477" dxfId="1" stopIfTrue="1">
      <formula>E163="Sieger 130"</formula>
    </cfRule>
  </conditionalFormatting>
  <conditionalFormatting sqref="L164">
    <cfRule type="expression" priority="478" dxfId="0" stopIfTrue="1">
      <formula>T164+U164&gt;0</formula>
    </cfRule>
    <cfRule type="expression" priority="479" dxfId="1" stopIfTrue="1">
      <formula>D164="Sieger 131"</formula>
    </cfRule>
    <cfRule type="expression" priority="480" dxfId="1" stopIfTrue="1">
      <formula>E164="Sieger 132"</formula>
    </cfRule>
  </conditionalFormatting>
  <conditionalFormatting sqref="L165">
    <cfRule type="expression" priority="481" dxfId="0" stopIfTrue="1">
      <formula>T165+U165&gt;0</formula>
    </cfRule>
    <cfRule type="expression" priority="482" dxfId="1" stopIfTrue="1">
      <formula>D165="Sieger 133"</formula>
    </cfRule>
    <cfRule type="expression" priority="483" dxfId="1" stopIfTrue="1">
      <formula>E165="Sieger 134"</formula>
    </cfRule>
  </conditionalFormatting>
  <conditionalFormatting sqref="L166">
    <cfRule type="expression" priority="484" dxfId="0" stopIfTrue="1">
      <formula>T166+U166&gt;0</formula>
    </cfRule>
    <cfRule type="expression" priority="485" dxfId="1" stopIfTrue="1">
      <formula>D166="Sieger 135"</formula>
    </cfRule>
    <cfRule type="expression" priority="486" dxfId="1" stopIfTrue="1">
      <formula>E166="Sieger 136"</formula>
    </cfRule>
  </conditionalFormatting>
  <conditionalFormatting sqref="L167">
    <cfRule type="expression" priority="487" dxfId="0" stopIfTrue="1">
      <formula>T167+U167&gt;0</formula>
    </cfRule>
    <cfRule type="expression" priority="488" dxfId="1" stopIfTrue="1">
      <formula>D167="Sieger 137"</formula>
    </cfRule>
    <cfRule type="expression" priority="489" dxfId="1" stopIfTrue="1">
      <formula>E167="Sieger 138"</formula>
    </cfRule>
  </conditionalFormatting>
  <conditionalFormatting sqref="L168">
    <cfRule type="expression" priority="490" dxfId="0" stopIfTrue="1">
      <formula>T168+U168&gt;0</formula>
    </cfRule>
    <cfRule type="expression" priority="491" dxfId="1" stopIfTrue="1">
      <formula>D168="Sieger 139"</formula>
    </cfRule>
    <cfRule type="expression" priority="492" dxfId="1" stopIfTrue="1">
      <formula>E168="Sieger 140"</formula>
    </cfRule>
  </conditionalFormatting>
  <conditionalFormatting sqref="L169">
    <cfRule type="expression" priority="493" dxfId="0" stopIfTrue="1">
      <formula>T169+U169&gt;0</formula>
    </cfRule>
    <cfRule type="expression" priority="494" dxfId="1" stopIfTrue="1">
      <formula>D169="Sieger 141"</formula>
    </cfRule>
    <cfRule type="expression" priority="495" dxfId="1" stopIfTrue="1">
      <formula>E169="Sieger 142"</formula>
    </cfRule>
  </conditionalFormatting>
  <conditionalFormatting sqref="L170">
    <cfRule type="expression" priority="496" dxfId="0" stopIfTrue="1">
      <formula>T170+U170&gt;0</formula>
    </cfRule>
    <cfRule type="expression" priority="497" dxfId="1" stopIfTrue="1">
      <formula>D170="Sieger 143"</formula>
    </cfRule>
    <cfRule type="expression" priority="498" dxfId="1" stopIfTrue="1">
      <formula>E170="Sieger 144"</formula>
    </cfRule>
  </conditionalFormatting>
  <conditionalFormatting sqref="L171">
    <cfRule type="expression" priority="499" dxfId="0" stopIfTrue="1">
      <formula>T171+U171&gt;0</formula>
    </cfRule>
    <cfRule type="expression" priority="500" dxfId="1" stopIfTrue="1">
      <formula>D171="Sieger 145"</formula>
    </cfRule>
    <cfRule type="expression" priority="501" dxfId="1" stopIfTrue="1">
      <formula>E171="Sieger 146"</formula>
    </cfRule>
  </conditionalFormatting>
  <conditionalFormatting sqref="L172">
    <cfRule type="expression" priority="502" dxfId="0" stopIfTrue="1">
      <formula>T172+U172&gt;0</formula>
    </cfRule>
    <cfRule type="expression" priority="503" dxfId="1" stopIfTrue="1">
      <formula>D172="Sieger 147"</formula>
    </cfRule>
    <cfRule type="expression" priority="504" dxfId="1" stopIfTrue="1">
      <formula>E172="Sieger 148"</formula>
    </cfRule>
  </conditionalFormatting>
  <conditionalFormatting sqref="L173">
    <cfRule type="expression" priority="505" dxfId="0" stopIfTrue="1">
      <formula>T173+U173&gt;0</formula>
    </cfRule>
    <cfRule type="expression" priority="506" dxfId="1" stopIfTrue="1">
      <formula>D173="Sieger 149"</formula>
    </cfRule>
    <cfRule type="expression" priority="507" dxfId="1" stopIfTrue="1">
      <formula>E173="Sieger 150"</formula>
    </cfRule>
  </conditionalFormatting>
  <conditionalFormatting sqref="L174">
    <cfRule type="expression" priority="508" dxfId="0" stopIfTrue="1">
      <formula>T174+U174&gt;0</formula>
    </cfRule>
    <cfRule type="expression" priority="509" dxfId="1" stopIfTrue="1">
      <formula>D174="Sieger 151"</formula>
    </cfRule>
    <cfRule type="expression" priority="510" dxfId="1" stopIfTrue="1">
      <formula>E174="Sieger 152"</formula>
    </cfRule>
  </conditionalFormatting>
  <conditionalFormatting sqref="L175">
    <cfRule type="expression" priority="511" dxfId="0" stopIfTrue="1">
      <formula>T175+U175&gt;0</formula>
    </cfRule>
    <cfRule type="expression" priority="512" dxfId="1" stopIfTrue="1">
      <formula>D175="Sieger 153"</formula>
    </cfRule>
    <cfRule type="expression" priority="513" dxfId="1" stopIfTrue="1">
      <formula>E175="Sieger 154"</formula>
    </cfRule>
  </conditionalFormatting>
  <conditionalFormatting sqref="L176">
    <cfRule type="expression" priority="514" dxfId="0" stopIfTrue="1">
      <formula>T176+U176&gt;0</formula>
    </cfRule>
    <cfRule type="expression" priority="515" dxfId="1" stopIfTrue="1">
      <formula>D176="Sieger 155"</formula>
    </cfRule>
    <cfRule type="expression" priority="516" dxfId="1" stopIfTrue="1">
      <formula>E176="Sieger 156"</formula>
    </cfRule>
  </conditionalFormatting>
  <conditionalFormatting sqref="L177">
    <cfRule type="expression" priority="517" dxfId="0" stopIfTrue="1">
      <formula>T177+U177&gt;0</formula>
    </cfRule>
    <cfRule type="expression" priority="518" dxfId="1" stopIfTrue="1">
      <formula>D177="Sieger 157"</formula>
    </cfRule>
    <cfRule type="expression" priority="519" dxfId="1" stopIfTrue="1">
      <formula>E177="Sieger 158"</formula>
    </cfRule>
  </conditionalFormatting>
  <conditionalFormatting sqref="L178">
    <cfRule type="expression" priority="520" dxfId="0" stopIfTrue="1">
      <formula>T178+U178&gt;0</formula>
    </cfRule>
    <cfRule type="expression" priority="521" dxfId="1" stopIfTrue="1">
      <formula>D178="Sieger 159"</formula>
    </cfRule>
    <cfRule type="expression" priority="522" dxfId="1" stopIfTrue="1">
      <formula>E178="Sieger 160"</formula>
    </cfRule>
  </conditionalFormatting>
  <conditionalFormatting sqref="L179">
    <cfRule type="expression" priority="523" dxfId="0" stopIfTrue="1">
      <formula>T179+U179&gt;0</formula>
    </cfRule>
    <cfRule type="expression" priority="524" dxfId="1" stopIfTrue="1">
      <formula>D179="Sieger 97"</formula>
    </cfRule>
    <cfRule type="expression" priority="525" dxfId="1" stopIfTrue="1">
      <formula>E179="Sieger 98"</formula>
    </cfRule>
  </conditionalFormatting>
  <conditionalFormatting sqref="L180">
    <cfRule type="expression" priority="526" dxfId="0" stopIfTrue="1">
      <formula>T180+U180&gt;0</formula>
    </cfRule>
    <cfRule type="expression" priority="527" dxfId="1" stopIfTrue="1">
      <formula>D180="Sieger 09"</formula>
    </cfRule>
    <cfRule type="expression" priority="528" dxfId="1" stopIfTrue="1">
      <formula>E180="Sieger 100"</formula>
    </cfRule>
  </conditionalFormatting>
  <conditionalFormatting sqref="L181">
    <cfRule type="expression" priority="529" dxfId="0" stopIfTrue="1">
      <formula>T181+U181&gt;0</formula>
    </cfRule>
    <cfRule type="expression" priority="530" dxfId="1" stopIfTrue="1">
      <formula>D181="Sieger 101"</formula>
    </cfRule>
    <cfRule type="expression" priority="531" dxfId="1" stopIfTrue="1">
      <formula>E181="Sieger 102"</formula>
    </cfRule>
  </conditionalFormatting>
  <conditionalFormatting sqref="L182">
    <cfRule type="expression" priority="532" dxfId="0" stopIfTrue="1">
      <formula>T182+U182&gt;0</formula>
    </cfRule>
    <cfRule type="expression" priority="533" dxfId="1" stopIfTrue="1">
      <formula>D182="Sieger 103"</formula>
    </cfRule>
    <cfRule type="expression" priority="534" dxfId="1" stopIfTrue="1">
      <formula>E182="Sieger 104"</formula>
    </cfRule>
  </conditionalFormatting>
  <conditionalFormatting sqref="L183">
    <cfRule type="expression" priority="535" dxfId="0" stopIfTrue="1">
      <formula>T183+U183&gt;0</formula>
    </cfRule>
    <cfRule type="expression" priority="536" dxfId="1" stopIfTrue="1">
      <formula>D183="Sieger 105"</formula>
    </cfRule>
    <cfRule type="expression" priority="537" dxfId="1" stopIfTrue="1">
      <formula>E183="Sieger 106"</formula>
    </cfRule>
  </conditionalFormatting>
  <conditionalFormatting sqref="L184">
    <cfRule type="expression" priority="538" dxfId="0" stopIfTrue="1">
      <formula>T184+U184&gt;0</formula>
    </cfRule>
    <cfRule type="expression" priority="539" dxfId="1" stopIfTrue="1">
      <formula>D184="Sieger 107"</formula>
    </cfRule>
    <cfRule type="expression" priority="540" dxfId="1" stopIfTrue="1">
      <formula>E184="Sieger 108"</formula>
    </cfRule>
  </conditionalFormatting>
  <conditionalFormatting sqref="L185">
    <cfRule type="expression" priority="541" dxfId="0" stopIfTrue="1">
      <formula>T185+U185&gt;0</formula>
    </cfRule>
    <cfRule type="expression" priority="542" dxfId="1" stopIfTrue="1">
      <formula>D185="Sieger 109"</formula>
    </cfRule>
    <cfRule type="expression" priority="543" dxfId="1" stopIfTrue="1">
      <formula>E185="Sieger 110"</formula>
    </cfRule>
  </conditionalFormatting>
  <conditionalFormatting sqref="L186">
    <cfRule type="expression" priority="544" dxfId="0" stopIfTrue="1">
      <formula>T186+U186&gt;0</formula>
    </cfRule>
    <cfRule type="expression" priority="545" dxfId="1" stopIfTrue="1">
      <formula>D186="Sieger 111"</formula>
    </cfRule>
    <cfRule type="expression" priority="546" dxfId="1" stopIfTrue="1">
      <formula>E186="Sieger 112"</formula>
    </cfRule>
  </conditionalFormatting>
  <conditionalFormatting sqref="L187">
    <cfRule type="expression" priority="547" dxfId="0" stopIfTrue="1">
      <formula>T187+U187&gt;0</formula>
    </cfRule>
    <cfRule type="expression" priority="548" dxfId="1" stopIfTrue="1">
      <formula>D187="Sieger 113"</formula>
    </cfRule>
    <cfRule type="expression" priority="549" dxfId="1" stopIfTrue="1">
      <formula>E187="Sieger 114"</formula>
    </cfRule>
  </conditionalFormatting>
  <conditionalFormatting sqref="L188">
    <cfRule type="expression" priority="550" dxfId="0" stopIfTrue="1">
      <formula>T188+U188&gt;0</formula>
    </cfRule>
    <cfRule type="expression" priority="551" dxfId="1" stopIfTrue="1">
      <formula>D188="Sieger 115"</formula>
    </cfRule>
    <cfRule type="expression" priority="552" dxfId="1" stopIfTrue="1">
      <formula>E188="Sieger 116"</formula>
    </cfRule>
  </conditionalFormatting>
  <conditionalFormatting sqref="L189">
    <cfRule type="expression" priority="553" dxfId="0" stopIfTrue="1">
      <formula>T189+U189&gt;0</formula>
    </cfRule>
    <cfRule type="expression" priority="554" dxfId="1" stopIfTrue="1">
      <formula>D189="Sieger 117"</formula>
    </cfRule>
    <cfRule type="expression" priority="555" dxfId="1" stopIfTrue="1">
      <formula>E189="Sieger 118"</formula>
    </cfRule>
  </conditionalFormatting>
  <conditionalFormatting sqref="L190">
    <cfRule type="expression" priority="556" dxfId="0" stopIfTrue="1">
      <formula>T190+U190&gt;0</formula>
    </cfRule>
    <cfRule type="expression" priority="557" dxfId="1" stopIfTrue="1">
      <formula>D190="Sieger 119"</formula>
    </cfRule>
    <cfRule type="expression" priority="558" dxfId="1" stopIfTrue="1">
      <formula>E190="Sieger 120"</formula>
    </cfRule>
  </conditionalFormatting>
  <conditionalFormatting sqref="L191">
    <cfRule type="expression" priority="559" dxfId="0" stopIfTrue="1">
      <formula>T191+U191&gt;0</formula>
    </cfRule>
    <cfRule type="expression" priority="560" dxfId="1" stopIfTrue="1">
      <formula>D191="Sieger 121"</formula>
    </cfRule>
    <cfRule type="expression" priority="561" dxfId="1" stopIfTrue="1">
      <formula>E191="Sieger 122"</formula>
    </cfRule>
  </conditionalFormatting>
  <conditionalFormatting sqref="L192">
    <cfRule type="expression" priority="562" dxfId="0" stopIfTrue="1">
      <formula>T192+U192&gt;0</formula>
    </cfRule>
    <cfRule type="expression" priority="563" dxfId="1" stopIfTrue="1">
      <formula>D192="Sieger 123"</formula>
    </cfRule>
    <cfRule type="expression" priority="564" dxfId="1" stopIfTrue="1">
      <formula>E192="Sieger 124"</formula>
    </cfRule>
  </conditionalFormatting>
  <conditionalFormatting sqref="L193">
    <cfRule type="expression" priority="565" dxfId="0" stopIfTrue="1">
      <formula>T193+U193&gt;0</formula>
    </cfRule>
    <cfRule type="expression" priority="566" dxfId="1" stopIfTrue="1">
      <formula>D193="Sieger 125"</formula>
    </cfRule>
    <cfRule type="expression" priority="567" dxfId="1" stopIfTrue="1">
      <formula>E193="Sieger 126"</formula>
    </cfRule>
  </conditionalFormatting>
  <conditionalFormatting sqref="L194">
    <cfRule type="expression" priority="568" dxfId="0" stopIfTrue="1">
      <formula>T194+U194&gt;0</formula>
    </cfRule>
    <cfRule type="expression" priority="569" dxfId="1" stopIfTrue="1">
      <formula>D194="Sieger 127"</formula>
    </cfRule>
    <cfRule type="expression" priority="570" dxfId="1" stopIfTrue="1">
      <formula>E194="Sieger 128"</formula>
    </cfRule>
  </conditionalFormatting>
  <conditionalFormatting sqref="L195">
    <cfRule type="expression" priority="571" dxfId="0" stopIfTrue="1">
      <formula>T195+U195&gt;0</formula>
    </cfRule>
    <cfRule type="expression" priority="572" dxfId="1" stopIfTrue="1">
      <formula>D195="Sieger 161"</formula>
    </cfRule>
    <cfRule type="expression" priority="573" dxfId="1" stopIfTrue="1">
      <formula>E195="Verlierer 179"</formula>
    </cfRule>
  </conditionalFormatting>
  <conditionalFormatting sqref="L196">
    <cfRule type="expression" priority="574" dxfId="0" stopIfTrue="1">
      <formula>T196+U196&gt;0</formula>
    </cfRule>
    <cfRule type="expression" priority="575" dxfId="1" stopIfTrue="1">
      <formula>D196="Sieger 162"</formula>
    </cfRule>
    <cfRule type="expression" priority="576" dxfId="1" stopIfTrue="1">
      <formula>E196="Verlierer 180"</formula>
    </cfRule>
  </conditionalFormatting>
  <conditionalFormatting sqref="L197">
    <cfRule type="expression" priority="577" dxfId="0" stopIfTrue="1">
      <formula>T197+U197&gt;0</formula>
    </cfRule>
    <cfRule type="expression" priority="578" dxfId="1" stopIfTrue="1">
      <formula>D197="Sieger 163"</formula>
    </cfRule>
    <cfRule type="expression" priority="579" dxfId="1" stopIfTrue="1">
      <formula>E197="Verlierer 177"</formula>
    </cfRule>
  </conditionalFormatting>
  <conditionalFormatting sqref="L198">
    <cfRule type="expression" priority="580" dxfId="0" stopIfTrue="1">
      <formula>T198+U198&gt;0</formula>
    </cfRule>
    <cfRule type="expression" priority="581" dxfId="1" stopIfTrue="1">
      <formula>D198="Sieger 164"</formula>
    </cfRule>
    <cfRule type="expression" priority="582" dxfId="1" stopIfTrue="1">
      <formula>E198="Verlierer 178"</formula>
    </cfRule>
  </conditionalFormatting>
  <conditionalFormatting sqref="L199">
    <cfRule type="expression" priority="583" dxfId="0" stopIfTrue="1">
      <formula>T199+U199&gt;0</formula>
    </cfRule>
    <cfRule type="expression" priority="584" dxfId="1" stopIfTrue="1">
      <formula>D199="Sieger 165"</formula>
    </cfRule>
    <cfRule type="expression" priority="585" dxfId="1" stopIfTrue="1">
      <formula>E199="Verlierer 183"</formula>
    </cfRule>
  </conditionalFormatting>
  <conditionalFormatting sqref="L200">
    <cfRule type="expression" priority="586" dxfId="0" stopIfTrue="1">
      <formula>T200+U200&gt;0</formula>
    </cfRule>
    <cfRule type="expression" priority="587" dxfId="1" stopIfTrue="1">
      <formula>D200="Sieger 166"</formula>
    </cfRule>
    <cfRule type="expression" priority="588" dxfId="1" stopIfTrue="1">
      <formula>E200="Verlierer 184"</formula>
    </cfRule>
  </conditionalFormatting>
  <conditionalFormatting sqref="L201">
    <cfRule type="expression" priority="589" dxfId="0" stopIfTrue="1">
      <formula>T201+U201&gt;0</formula>
    </cfRule>
    <cfRule type="expression" priority="590" dxfId="1" stopIfTrue="1">
      <formula>D201="Sieger 167"</formula>
    </cfRule>
    <cfRule type="expression" priority="591" dxfId="1" stopIfTrue="1">
      <formula>E201="Verlierer 181"</formula>
    </cfRule>
  </conditionalFormatting>
  <conditionalFormatting sqref="L202">
    <cfRule type="expression" priority="592" dxfId="0" stopIfTrue="1">
      <formula>T202+U202&gt;0</formula>
    </cfRule>
    <cfRule type="expression" priority="593" dxfId="1" stopIfTrue="1">
      <formula>D202="Sieger 168"</formula>
    </cfRule>
    <cfRule type="expression" priority="594" dxfId="1" stopIfTrue="1">
      <formula>E202="Verlierer 182"</formula>
    </cfRule>
  </conditionalFormatting>
  <conditionalFormatting sqref="L203">
    <cfRule type="expression" priority="595" dxfId="0" stopIfTrue="1">
      <formula>T203+U203&gt;0</formula>
    </cfRule>
    <cfRule type="expression" priority="596" dxfId="1" stopIfTrue="1">
      <formula>D203="Sieger 169"</formula>
    </cfRule>
    <cfRule type="expression" priority="597" dxfId="1" stopIfTrue="1">
      <formula>E203="Verlierer 187"</formula>
    </cfRule>
  </conditionalFormatting>
  <conditionalFormatting sqref="L204">
    <cfRule type="expression" priority="598" dxfId="0" stopIfTrue="1">
      <formula>T204+U204&gt;0</formula>
    </cfRule>
    <cfRule type="expression" priority="599" dxfId="1" stopIfTrue="1">
      <formula>D204="Sieger 170"</formula>
    </cfRule>
    <cfRule type="expression" priority="600" dxfId="1" stopIfTrue="1">
      <formula>E204="Verlierer 188"</formula>
    </cfRule>
  </conditionalFormatting>
  <conditionalFormatting sqref="L205">
    <cfRule type="expression" priority="601" dxfId="0" stopIfTrue="1">
      <formula>T205+U205&gt;0</formula>
    </cfRule>
    <cfRule type="expression" priority="602" dxfId="1" stopIfTrue="1">
      <formula>D205="Sieger 171"</formula>
    </cfRule>
    <cfRule type="expression" priority="603" dxfId="1" stopIfTrue="1">
      <formula>E205="Verlierer 185"</formula>
    </cfRule>
  </conditionalFormatting>
  <conditionalFormatting sqref="L206">
    <cfRule type="expression" priority="604" dxfId="0" stopIfTrue="1">
      <formula>T206+U206&gt;0</formula>
    </cfRule>
    <cfRule type="expression" priority="605" dxfId="1" stopIfTrue="1">
      <formula>D206="Sieger 172"</formula>
    </cfRule>
    <cfRule type="expression" priority="606" dxfId="1" stopIfTrue="1">
      <formula>E206="Verlierer 186"</formula>
    </cfRule>
  </conditionalFormatting>
  <conditionalFormatting sqref="L207">
    <cfRule type="expression" priority="607" dxfId="0" stopIfTrue="1">
      <formula>T207+U207&gt;0</formula>
    </cfRule>
    <cfRule type="expression" priority="608" dxfId="1" stopIfTrue="1">
      <formula>D207="Sieger 173"</formula>
    </cfRule>
    <cfRule type="expression" priority="609" dxfId="1" stopIfTrue="1">
      <formula>E207="Verlierer 191"</formula>
    </cfRule>
  </conditionalFormatting>
  <conditionalFormatting sqref="L208">
    <cfRule type="expression" priority="610" dxfId="0" stopIfTrue="1">
      <formula>T208+U208&gt;0</formula>
    </cfRule>
    <cfRule type="expression" priority="611" dxfId="1" stopIfTrue="1">
      <formula>D208="Sieger 174"</formula>
    </cfRule>
    <cfRule type="expression" priority="612" dxfId="1" stopIfTrue="1">
      <formula>E208="Verlierer 192"</formula>
    </cfRule>
  </conditionalFormatting>
  <conditionalFormatting sqref="L209">
    <cfRule type="expression" priority="613" dxfId="0" stopIfTrue="1">
      <formula>T209+U209&gt;0</formula>
    </cfRule>
    <cfRule type="expression" priority="614" dxfId="1" stopIfTrue="1">
      <formula>D209="Sieger 175"</formula>
    </cfRule>
    <cfRule type="expression" priority="615" dxfId="1" stopIfTrue="1">
      <formula>E209="Verlierer 189"</formula>
    </cfRule>
  </conditionalFormatting>
  <conditionalFormatting sqref="L210">
    <cfRule type="expression" priority="616" dxfId="0" stopIfTrue="1">
      <formula>T210+U210&gt;0</formula>
    </cfRule>
    <cfRule type="expression" priority="617" dxfId="1" stopIfTrue="1">
      <formula>D210="Sieger 176"</formula>
    </cfRule>
    <cfRule type="expression" priority="618" dxfId="1" stopIfTrue="1">
      <formula>E210="Verlierer 190"</formula>
    </cfRule>
  </conditionalFormatting>
  <conditionalFormatting sqref="L211">
    <cfRule type="expression" priority="619" dxfId="0" stopIfTrue="1">
      <formula>T211+U211&gt;0</formula>
    </cfRule>
    <cfRule type="expression" priority="620" dxfId="1" stopIfTrue="1">
      <formula>D211="Sieger 193"</formula>
    </cfRule>
    <cfRule type="expression" priority="621" dxfId="1" stopIfTrue="1">
      <formula>E211="Sieger 194"</formula>
    </cfRule>
  </conditionalFormatting>
  <conditionalFormatting sqref="L212">
    <cfRule type="expression" priority="622" dxfId="0" stopIfTrue="1">
      <formula>T212+U212&gt;0</formula>
    </cfRule>
    <cfRule type="expression" priority="623" dxfId="1" stopIfTrue="1">
      <formula>D212="Sieger 195"</formula>
    </cfRule>
    <cfRule type="expression" priority="624" dxfId="1" stopIfTrue="1">
      <formula>E212="Sieger 196"</formula>
    </cfRule>
  </conditionalFormatting>
  <conditionalFormatting sqref="L213">
    <cfRule type="expression" priority="625" dxfId="0" stopIfTrue="1">
      <formula>T213+U213&gt;0</formula>
    </cfRule>
    <cfRule type="expression" priority="626" dxfId="1" stopIfTrue="1">
      <formula>D213="Sieger 197"</formula>
    </cfRule>
    <cfRule type="expression" priority="627" dxfId="1" stopIfTrue="1">
      <formula>E213="Sieger 198"</formula>
    </cfRule>
  </conditionalFormatting>
  <conditionalFormatting sqref="L214">
    <cfRule type="expression" priority="628" dxfId="0" stopIfTrue="1">
      <formula>T214+U214&gt;0</formula>
    </cfRule>
    <cfRule type="expression" priority="629" dxfId="1" stopIfTrue="1">
      <formula>D214="Sieger 199"</formula>
    </cfRule>
    <cfRule type="expression" priority="630" dxfId="1" stopIfTrue="1">
      <formula>E214="Sieger 200"</formula>
    </cfRule>
  </conditionalFormatting>
  <conditionalFormatting sqref="L215">
    <cfRule type="expression" priority="631" dxfId="0" stopIfTrue="1">
      <formula>T215+U215&gt;0</formula>
    </cfRule>
    <cfRule type="expression" priority="632" dxfId="1" stopIfTrue="1">
      <formula>D215="Sieger 201"</formula>
    </cfRule>
    <cfRule type="expression" priority="633" dxfId="1" stopIfTrue="1">
      <formula>E215="Sieger 202"</formula>
    </cfRule>
  </conditionalFormatting>
  <conditionalFormatting sqref="L217">
    <cfRule type="expression" priority="634" dxfId="0" stopIfTrue="1">
      <formula>T217+U217&gt;0</formula>
    </cfRule>
    <cfRule type="expression" priority="635" dxfId="1" stopIfTrue="1">
      <formula>D217="Sieger 205"</formula>
    </cfRule>
    <cfRule type="expression" priority="636" dxfId="1" stopIfTrue="1">
      <formula>E217="Sieger 206"</formula>
    </cfRule>
  </conditionalFormatting>
  <conditionalFormatting sqref="L216">
    <cfRule type="expression" priority="637" dxfId="0" stopIfTrue="1">
      <formula>T216+U216&gt;0</formula>
    </cfRule>
    <cfRule type="expression" priority="638" dxfId="1" stopIfTrue="1">
      <formula>D216="Sieger 203"</formula>
    </cfRule>
    <cfRule type="expression" priority="639" dxfId="1" stopIfTrue="1">
      <formula>E216="Sieger 204"</formula>
    </cfRule>
  </conditionalFormatting>
  <conditionalFormatting sqref="L218">
    <cfRule type="expression" priority="640" dxfId="0" stopIfTrue="1">
      <formula>T218+U218&gt;0</formula>
    </cfRule>
    <cfRule type="expression" priority="641" dxfId="1" stopIfTrue="1">
      <formula>D218="Sieger 207"</formula>
    </cfRule>
    <cfRule type="expression" priority="642" dxfId="1" stopIfTrue="1">
      <formula>E218="Sieger 208"</formula>
    </cfRule>
  </conditionalFormatting>
  <conditionalFormatting sqref="L219">
    <cfRule type="expression" priority="643" dxfId="0" stopIfTrue="1">
      <formula>T219+U219&gt;0</formula>
    </cfRule>
    <cfRule type="expression" priority="644" dxfId="1" stopIfTrue="1">
      <formula>D219="Sieger 177"</formula>
    </cfRule>
    <cfRule type="expression" priority="645" dxfId="1" stopIfTrue="1">
      <formula>E219="Sieger 178"</formula>
    </cfRule>
  </conditionalFormatting>
  <conditionalFormatting sqref="L220">
    <cfRule type="expression" priority="646" dxfId="0" stopIfTrue="1">
      <formula>T220+U220&gt;0</formula>
    </cfRule>
    <cfRule type="expression" priority="647" dxfId="1" stopIfTrue="1">
      <formula>D220="Sieger 179"</formula>
    </cfRule>
    <cfRule type="expression" priority="648" dxfId="1" stopIfTrue="1">
      <formula>E220="Sieger 180"</formula>
    </cfRule>
  </conditionalFormatting>
  <conditionalFormatting sqref="L221">
    <cfRule type="expression" priority="649" dxfId="0" stopIfTrue="1">
      <formula>T221+U221&gt;0</formula>
    </cfRule>
    <cfRule type="expression" priority="650" dxfId="1" stopIfTrue="1">
      <formula>D221="Sieger 181"</formula>
    </cfRule>
    <cfRule type="expression" priority="651" dxfId="1" stopIfTrue="1">
      <formula>E221="Sieger 182"</formula>
    </cfRule>
  </conditionalFormatting>
  <conditionalFormatting sqref="L222">
    <cfRule type="expression" priority="652" dxfId="0" stopIfTrue="1">
      <formula>T222+U222&gt;0</formula>
    </cfRule>
    <cfRule type="expression" priority="653" dxfId="1" stopIfTrue="1">
      <formula>D222="Sieger 183"</formula>
    </cfRule>
    <cfRule type="expression" priority="654" dxfId="1" stopIfTrue="1">
      <formula>E222="Sieger 184"</formula>
    </cfRule>
  </conditionalFormatting>
  <conditionalFormatting sqref="L223">
    <cfRule type="expression" priority="655" dxfId="0" stopIfTrue="1">
      <formula>T223+U223&gt;0</formula>
    </cfRule>
    <cfRule type="expression" priority="656" dxfId="1" stopIfTrue="1">
      <formula>D223="Sieger 185"</formula>
    </cfRule>
    <cfRule type="expression" priority="657" dxfId="1" stopIfTrue="1">
      <formula>E223="Sieger 186"</formula>
    </cfRule>
  </conditionalFormatting>
  <conditionalFormatting sqref="L224">
    <cfRule type="expression" priority="658" dxfId="0" stopIfTrue="1">
      <formula>T224+U224&gt;0</formula>
    </cfRule>
    <cfRule type="expression" priority="659" dxfId="1" stopIfTrue="1">
      <formula>D224="Sieger 187"</formula>
    </cfRule>
    <cfRule type="expression" priority="660" dxfId="1" stopIfTrue="1">
      <formula>E224="Sieger 188"</formula>
    </cfRule>
  </conditionalFormatting>
  <conditionalFormatting sqref="L225">
    <cfRule type="expression" priority="661" dxfId="0" stopIfTrue="1">
      <formula>T225+U225&gt;0</formula>
    </cfRule>
    <cfRule type="expression" priority="662" dxfId="1" stopIfTrue="1">
      <formula>D225="Sieger 189"</formula>
    </cfRule>
    <cfRule type="expression" priority="663" dxfId="1" stopIfTrue="1">
      <formula>E225="Sieger 190"</formula>
    </cfRule>
  </conditionalFormatting>
  <conditionalFormatting sqref="L226">
    <cfRule type="expression" priority="664" dxfId="0" stopIfTrue="1">
      <formula>T226+U226&gt;0</formula>
    </cfRule>
    <cfRule type="expression" priority="665" dxfId="1" stopIfTrue="1">
      <formula>D226="Sieger 191"</formula>
    </cfRule>
    <cfRule type="expression" priority="666" dxfId="1" stopIfTrue="1">
      <formula>E226="Sieger 192"</formula>
    </cfRule>
  </conditionalFormatting>
  <conditionalFormatting sqref="L227">
    <cfRule type="expression" priority="667" dxfId="0" stopIfTrue="1">
      <formula>T227+U227&gt;0</formula>
    </cfRule>
    <cfRule type="expression" priority="668" dxfId="1" stopIfTrue="1">
      <formula>D227="Sieger 209"</formula>
    </cfRule>
    <cfRule type="expression" priority="669" dxfId="1" stopIfTrue="1">
      <formula>E227="Verlierer 219"</formula>
    </cfRule>
  </conditionalFormatting>
  <conditionalFormatting sqref="L228">
    <cfRule type="expression" priority="670" dxfId="0" stopIfTrue="1">
      <formula>T228+U228&gt;0</formula>
    </cfRule>
    <cfRule type="expression" priority="671" dxfId="1" stopIfTrue="1">
      <formula>D228="Sieger 210"</formula>
    </cfRule>
    <cfRule type="expression" priority="672" dxfId="1" stopIfTrue="1">
      <formula>E228="Verlierer 220"</formula>
    </cfRule>
  </conditionalFormatting>
  <conditionalFormatting sqref="L229">
    <cfRule type="expression" priority="673" dxfId="0" stopIfTrue="1">
      <formula>T229+U229&gt;0</formula>
    </cfRule>
    <cfRule type="expression" priority="674" dxfId="1" stopIfTrue="1">
      <formula>D229="Sieger 211"</formula>
    </cfRule>
    <cfRule type="expression" priority="675" dxfId="1" stopIfTrue="1">
      <formula>E229="Verlierer 217"</formula>
    </cfRule>
  </conditionalFormatting>
  <conditionalFormatting sqref="L230">
    <cfRule type="expression" priority="676" dxfId="0" stopIfTrue="1">
      <formula>T230+U230&gt;0</formula>
    </cfRule>
    <cfRule type="expression" priority="677" dxfId="1" stopIfTrue="1">
      <formula>D230="Sieger 212"</formula>
    </cfRule>
    <cfRule type="expression" priority="678" dxfId="1" stopIfTrue="1">
      <formula>E230="Verlierer 218"</formula>
    </cfRule>
  </conditionalFormatting>
  <conditionalFormatting sqref="L231">
    <cfRule type="expression" priority="679" dxfId="0" stopIfTrue="1">
      <formula>T231+U231&gt;0</formula>
    </cfRule>
    <cfRule type="expression" priority="680" dxfId="1" stopIfTrue="1">
      <formula>D231="Sieger 213"</formula>
    </cfRule>
    <cfRule type="expression" priority="681" dxfId="1" stopIfTrue="1">
      <formula>E231="Verlierer 223"</formula>
    </cfRule>
  </conditionalFormatting>
  <conditionalFormatting sqref="L232">
    <cfRule type="expression" priority="682" dxfId="0" stopIfTrue="1">
      <formula>T232+U232&gt;0</formula>
    </cfRule>
    <cfRule type="expression" priority="683" dxfId="1" stopIfTrue="1">
      <formula>D232="Sieger 214"</formula>
    </cfRule>
    <cfRule type="expression" priority="684" dxfId="1" stopIfTrue="1">
      <formula>E232="Verlierer 224"</formula>
    </cfRule>
  </conditionalFormatting>
  <conditionalFormatting sqref="L233">
    <cfRule type="expression" priority="685" dxfId="0" stopIfTrue="1">
      <formula>T233+U233&gt;0</formula>
    </cfRule>
    <cfRule type="expression" priority="686" dxfId="1" stopIfTrue="1">
      <formula>D233="Sieger 215"</formula>
    </cfRule>
    <cfRule type="expression" priority="687" dxfId="1" stopIfTrue="1">
      <formula>E233="Verlierer 221"</formula>
    </cfRule>
  </conditionalFormatting>
  <conditionalFormatting sqref="L234">
    <cfRule type="expression" priority="688" dxfId="0" stopIfTrue="1">
      <formula>T234+U234&gt;0</formula>
    </cfRule>
    <cfRule type="expression" priority="689" dxfId="1" stopIfTrue="1">
      <formula>D234="Sieger 216"</formula>
    </cfRule>
    <cfRule type="expression" priority="690" dxfId="1" stopIfTrue="1">
      <formula>E234="Verlierer 222"</formula>
    </cfRule>
  </conditionalFormatting>
  <conditionalFormatting sqref="L235">
    <cfRule type="expression" priority="691" dxfId="0" stopIfTrue="1">
      <formula>T235+U235&gt;0</formula>
    </cfRule>
    <cfRule type="expression" priority="692" dxfId="1" stopIfTrue="1">
      <formula>D235="Sieger 225"</formula>
    </cfRule>
    <cfRule type="expression" priority="693" dxfId="1" stopIfTrue="1">
      <formula>E235="Sieger 226"</formula>
    </cfRule>
  </conditionalFormatting>
  <conditionalFormatting sqref="L236">
    <cfRule type="expression" priority="694" dxfId="0" stopIfTrue="1">
      <formula>T236+U236&gt;0</formula>
    </cfRule>
    <cfRule type="expression" priority="695" dxfId="1" stopIfTrue="1">
      <formula>D236="Sieger 227"</formula>
    </cfRule>
    <cfRule type="expression" priority="696" dxfId="1" stopIfTrue="1">
      <formula>E236="Sieger 228"</formula>
    </cfRule>
  </conditionalFormatting>
  <conditionalFormatting sqref="L237">
    <cfRule type="expression" priority="697" dxfId="0" stopIfTrue="1">
      <formula>T237+U237&gt;0</formula>
    </cfRule>
    <cfRule type="expression" priority="698" dxfId="1" stopIfTrue="1">
      <formula>D237="Sieger 229"</formula>
    </cfRule>
    <cfRule type="expression" priority="699" dxfId="1" stopIfTrue="1">
      <formula>E237="Sieger 230"</formula>
    </cfRule>
  </conditionalFormatting>
  <conditionalFormatting sqref="L238">
    <cfRule type="expression" priority="700" dxfId="0" stopIfTrue="1">
      <formula>T238+U238&gt;0</formula>
    </cfRule>
    <cfRule type="expression" priority="701" dxfId="1" stopIfTrue="1">
      <formula>D238="Sieger 231"</formula>
    </cfRule>
    <cfRule type="expression" priority="702" dxfId="1" stopIfTrue="1">
      <formula>E238="Sieger 232"</formula>
    </cfRule>
  </conditionalFormatting>
  <conditionalFormatting sqref="L239">
    <cfRule type="expression" priority="703" dxfId="0" stopIfTrue="1">
      <formula>T239+U239&gt;0</formula>
    </cfRule>
    <cfRule type="expression" priority="704" dxfId="1" stopIfTrue="1">
      <formula>D239="Sieger 217"</formula>
    </cfRule>
    <cfRule type="expression" priority="705" dxfId="1" stopIfTrue="1">
      <formula>E239="Sieger 218"</formula>
    </cfRule>
  </conditionalFormatting>
  <conditionalFormatting sqref="L240">
    <cfRule type="expression" priority="706" dxfId="0" stopIfTrue="1">
      <formula>T240+U240&gt;0</formula>
    </cfRule>
    <cfRule type="expression" priority="707" dxfId="1" stopIfTrue="1">
      <formula>D240="Sieger 219"</formula>
    </cfRule>
    <cfRule type="expression" priority="708" dxfId="1" stopIfTrue="1">
      <formula>E240="Sieger 220"</formula>
    </cfRule>
  </conditionalFormatting>
  <conditionalFormatting sqref="L241">
    <cfRule type="expression" priority="709" dxfId="0" stopIfTrue="1">
      <formula>T241+U241&gt;0</formula>
    </cfRule>
    <cfRule type="expression" priority="710" dxfId="1" stopIfTrue="1">
      <formula>D241="Sieger 221"</formula>
    </cfRule>
    <cfRule type="expression" priority="711" dxfId="1" stopIfTrue="1">
      <formula>E241="Sieger 222"</formula>
    </cfRule>
  </conditionalFormatting>
  <conditionalFormatting sqref="L242">
    <cfRule type="expression" priority="712" dxfId="0" stopIfTrue="1">
      <formula>T242+U242&gt;0</formula>
    </cfRule>
    <cfRule type="expression" priority="713" dxfId="1" stopIfTrue="1">
      <formula>D242="Sieger 223"</formula>
    </cfRule>
    <cfRule type="expression" priority="714" dxfId="1" stopIfTrue="1">
      <formula>E242="Sieger 224"</formula>
    </cfRule>
  </conditionalFormatting>
  <conditionalFormatting sqref="L243">
    <cfRule type="expression" priority="715" dxfId="0" stopIfTrue="1">
      <formula>T243+U243&gt;0</formula>
    </cfRule>
    <cfRule type="expression" priority="716" dxfId="1" stopIfTrue="1">
      <formula>D243="Sieger 233"</formula>
    </cfRule>
    <cfRule type="expression" priority="717" dxfId="1" stopIfTrue="1">
      <formula>E243="Verlierer 238"</formula>
    </cfRule>
  </conditionalFormatting>
  <conditionalFormatting sqref="L244">
    <cfRule type="expression" priority="718" dxfId="0" stopIfTrue="1">
      <formula>T244+U244&gt;0</formula>
    </cfRule>
    <cfRule type="expression" priority="719" dxfId="1" stopIfTrue="1">
      <formula>D244="Sieger 234"</formula>
    </cfRule>
    <cfRule type="expression" priority="720" dxfId="1" stopIfTrue="1">
      <formula>E244="Verlierer 237"</formula>
    </cfRule>
  </conditionalFormatting>
  <conditionalFormatting sqref="L245">
    <cfRule type="expression" priority="721" dxfId="0" stopIfTrue="1">
      <formula>T245+U245&gt;0</formula>
    </cfRule>
    <cfRule type="expression" priority="722" dxfId="1" stopIfTrue="1">
      <formula>D245="Sieger 235"</formula>
    </cfRule>
    <cfRule type="expression" priority="723" dxfId="1" stopIfTrue="1">
      <formula>E245="Verlierer 240"</formula>
    </cfRule>
  </conditionalFormatting>
  <conditionalFormatting sqref="L246">
    <cfRule type="expression" priority="724" dxfId="0" stopIfTrue="1">
      <formula>T246+U246&gt;0</formula>
    </cfRule>
    <cfRule type="expression" priority="725" dxfId="1" stopIfTrue="1">
      <formula>D246="Sieger 236"</formula>
    </cfRule>
    <cfRule type="expression" priority="726" dxfId="1" stopIfTrue="1">
      <formula>E246="Verlierer 239"</formula>
    </cfRule>
  </conditionalFormatting>
  <conditionalFormatting sqref="L247">
    <cfRule type="expression" priority="727" dxfId="0" stopIfTrue="1">
      <formula>T247+U247&gt;0</formula>
    </cfRule>
    <cfRule type="expression" priority="728" dxfId="1" stopIfTrue="1">
      <formula>D247="Sieger 241"</formula>
    </cfRule>
    <cfRule type="expression" priority="729" dxfId="1" stopIfTrue="1">
      <formula>E247="Sieger 242"</formula>
    </cfRule>
  </conditionalFormatting>
  <conditionalFormatting sqref="L248">
    <cfRule type="expression" priority="730" dxfId="0" stopIfTrue="1">
      <formula>T248+U248&gt;0</formula>
    </cfRule>
    <cfRule type="expression" priority="731" dxfId="1" stopIfTrue="1">
      <formula>D248="Sieger 243"</formula>
    </cfRule>
    <cfRule type="expression" priority="732" dxfId="1" stopIfTrue="1">
      <formula>E248="Sieger 244"</formula>
    </cfRule>
  </conditionalFormatting>
  <conditionalFormatting sqref="L249">
    <cfRule type="expression" priority="733" dxfId="0" stopIfTrue="1">
      <formula>T249+U249&gt;0</formula>
    </cfRule>
    <cfRule type="expression" priority="734" dxfId="1" stopIfTrue="1">
      <formula>D249="Sieger 237"</formula>
    </cfRule>
    <cfRule type="expression" priority="735" dxfId="1" stopIfTrue="1">
      <formula>E249="Sieger 238"</formula>
    </cfRule>
  </conditionalFormatting>
  <conditionalFormatting sqref="L250">
    <cfRule type="expression" priority="736" dxfId="0" stopIfTrue="1">
      <formula>T250+U250&gt;0</formula>
    </cfRule>
    <cfRule type="expression" priority="737" dxfId="1" stopIfTrue="1">
      <formula>D250="Sieger 239"</formula>
    </cfRule>
    <cfRule type="expression" priority="738" dxfId="1" stopIfTrue="1">
      <formula>E250="Sieger 240"</formula>
    </cfRule>
  </conditionalFormatting>
  <conditionalFormatting sqref="L251">
    <cfRule type="expression" priority="739" dxfId="0" stopIfTrue="1">
      <formula>T251+U251&gt;0</formula>
    </cfRule>
    <cfRule type="expression" priority="740" dxfId="1" stopIfTrue="1">
      <formula>D251="Sieger 245"</formula>
    </cfRule>
    <cfRule type="expression" priority="741" dxfId="1" stopIfTrue="1">
      <formula>E251="Verlierer 247"</formula>
    </cfRule>
  </conditionalFormatting>
  <conditionalFormatting sqref="L252">
    <cfRule type="expression" priority="742" dxfId="0" stopIfTrue="1">
      <formula>T252+U252&gt;0</formula>
    </cfRule>
    <cfRule type="expression" priority="743" dxfId="1" stopIfTrue="1">
      <formula>D252="Sieger 246"</formula>
    </cfRule>
    <cfRule type="expression" priority="744" dxfId="1" stopIfTrue="1">
      <formula>E252="Verlierer 248"</formula>
    </cfRule>
  </conditionalFormatting>
  <conditionalFormatting sqref="L254">
    <cfRule type="expression" priority="745" dxfId="0" stopIfTrue="1">
      <formula>T254+U254&gt;0</formula>
    </cfRule>
    <cfRule type="expression" priority="746" dxfId="1" stopIfTrue="1">
      <formula>D254="Sieger 247"</formula>
    </cfRule>
    <cfRule type="expression" priority="747" dxfId="1" stopIfTrue="1">
      <formula>E254="Sieger 248"</formula>
    </cfRule>
  </conditionalFormatting>
  <conditionalFormatting sqref="L253">
    <cfRule type="expression" priority="748" dxfId="0" stopIfTrue="1">
      <formula>T253+U253&gt;0</formula>
    </cfRule>
    <cfRule type="expression" priority="749" dxfId="1" stopIfTrue="1">
      <formula>D253="Sieger 249"</formula>
    </cfRule>
    <cfRule type="expression" priority="750" dxfId="1" stopIfTrue="1">
      <formula>E253="Sieger 250"</formula>
    </cfRule>
  </conditionalFormatting>
  <conditionalFormatting sqref="L255">
    <cfRule type="expression" priority="751" dxfId="0" stopIfTrue="1">
      <formula>T255+U255&gt;0</formula>
    </cfRule>
    <cfRule type="expression" priority="752" dxfId="1" stopIfTrue="1">
      <formula>D255="Sieger 251"</formula>
    </cfRule>
    <cfRule type="expression" priority="753" dxfId="1" stopIfTrue="1">
      <formula>E255="Verlierer 252"</formula>
    </cfRule>
  </conditionalFormatting>
  <conditionalFormatting sqref="L256">
    <cfRule type="expression" priority="754" dxfId="0" stopIfTrue="1">
      <formula>T256+U256&gt;0</formula>
    </cfRule>
    <cfRule type="expression" priority="755" dxfId="1" stopIfTrue="1">
      <formula>D256="Sieger 252"</formula>
    </cfRule>
    <cfRule type="expression" priority="756" dxfId="1" stopIfTrue="1">
      <formula>E256="Sieger 253"</formula>
    </cfRule>
  </conditionalFormatting>
  <conditionalFormatting sqref="L257">
    <cfRule type="expression" priority="757" dxfId="0" stopIfTrue="1">
      <formula>T257+U257&gt;0</formula>
    </cfRule>
    <cfRule type="expression" priority="758" dxfId="1" stopIfTrue="1">
      <formula>D257="Sieger 254"</formula>
    </cfRule>
    <cfRule type="expression" priority="759" dxfId="1" stopIfTrue="1">
      <formula>E257="Verlierer 254"</formula>
    </cfRule>
  </conditionalFormatting>
  <conditionalFormatting sqref="L3">
    <cfRule type="expression" priority="760" dxfId="0" stopIfTrue="1">
      <formula>$T$3+$U$3&gt;0</formula>
    </cfRule>
    <cfRule type="expression" priority="761" dxfId="1" stopIfTrue="1">
      <formula>$D$3="Spieler 1"</formula>
    </cfRule>
    <cfRule type="expression" priority="762" dxfId="1" stopIfTrue="1">
      <formula>$E$3="Spieler 65"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E129"/>
  <sheetViews>
    <sheetView showGridLines="0" showRowColHeaders="0" showZeros="0" showOutlineSymbols="0" zoomScale="75" zoomScaleNormal="75" workbookViewId="0" topLeftCell="A1">
      <selection activeCell="A8" sqref="A8"/>
    </sheetView>
  </sheetViews>
  <sheetFormatPr defaultColWidth="11.421875" defaultRowHeight="12.75"/>
  <cols>
    <col min="1" max="1" width="4.00390625" style="0" customWidth="1"/>
    <col min="3" max="3" width="4.00390625" style="0" customWidth="1"/>
    <col min="5" max="5" width="4.00390625" style="0" customWidth="1"/>
    <col min="7" max="7" width="4.00390625" style="0" customWidth="1"/>
    <col min="9" max="9" width="4.00390625" style="0" customWidth="1"/>
    <col min="11" max="11" width="4.00390625" style="0" customWidth="1"/>
    <col min="13" max="13" width="4.00390625" style="0" customWidth="1"/>
    <col min="15" max="15" width="4.00390625" style="0" customWidth="1"/>
    <col min="17" max="17" width="4.00390625" style="0" customWidth="1"/>
    <col min="18" max="18" width="4.00390625" style="0" bestFit="1" customWidth="1"/>
    <col min="20" max="20" width="4.00390625" style="0" customWidth="1"/>
    <col min="21" max="21" width="4.8515625" style="0" customWidth="1"/>
    <col min="22" max="22" width="10.7109375" style="0" customWidth="1"/>
    <col min="23" max="23" width="4.00390625" style="0" customWidth="1"/>
    <col min="25" max="25" width="4.00390625" style="0" customWidth="1"/>
    <col min="27" max="27" width="4.00390625" style="0" customWidth="1"/>
    <col min="29" max="29" width="4.00390625" style="0" customWidth="1"/>
    <col min="31" max="31" width="4.00390625" style="0" customWidth="1"/>
    <col min="33" max="33" width="3.8515625" style="0" customWidth="1"/>
  </cols>
  <sheetData>
    <row r="1" spans="18:20" ht="13.5" thickBot="1">
      <c r="R1" s="45">
        <f>SP128!C3</f>
        <v>1</v>
      </c>
      <c r="S1" s="41" t="str">
        <f>SP128!D3</f>
        <v>Spieler 1</v>
      </c>
      <c r="T1" s="42">
        <f>SP128!F3</f>
        <v>0</v>
      </c>
    </row>
    <row r="2" spans="15:23" ht="13.5" thickBot="1">
      <c r="O2" s="45">
        <f>SP128!C67</f>
        <v>65</v>
      </c>
      <c r="P2" s="41" t="str">
        <f>SP128!D67</f>
        <v>Verlierer 1</v>
      </c>
      <c r="Q2" s="42">
        <f>SP128!F67</f>
        <v>0</v>
      </c>
      <c r="R2" s="46">
        <f>IF(SP128!L3="","",SP128!L3)</f>
      </c>
      <c r="S2" s="43" t="str">
        <f>SP128!E3</f>
        <v>Spieler 65</v>
      </c>
      <c r="T2" s="44">
        <f>SP128!G3</f>
        <v>0</v>
      </c>
      <c r="U2" s="45">
        <f>SP128!C99</f>
        <v>97</v>
      </c>
      <c r="V2" s="41" t="str">
        <f>SP128!D99</f>
        <v>Sieger 1</v>
      </c>
      <c r="W2" s="42">
        <f>SP128!F99</f>
        <v>0</v>
      </c>
    </row>
    <row r="3" spans="15:23" ht="13.5" thickBot="1">
      <c r="O3" s="46">
        <f>IF(SP128!L67="","",SP128!L67)</f>
      </c>
      <c r="P3" s="43" t="str">
        <f>SP128!E67</f>
        <v>Verlierer 2</v>
      </c>
      <c r="Q3" s="44">
        <f>SP128!G67</f>
        <v>0</v>
      </c>
      <c r="R3" s="47">
        <f>SP128!C4</f>
        <v>2</v>
      </c>
      <c r="S3" s="41" t="str">
        <f>SP128!D4</f>
        <v>Spieler 33</v>
      </c>
      <c r="T3" s="42">
        <f>SP128!F4</f>
        <v>0</v>
      </c>
      <c r="U3" s="46">
        <f>IF(SP128!L99="","",SP128!L99)</f>
      </c>
      <c r="V3" s="43" t="str">
        <f>SP128!E99</f>
        <v>Sieger 2</v>
      </c>
      <c r="W3" s="44">
        <f>SP128!G99</f>
        <v>0</v>
      </c>
    </row>
    <row r="4" spans="9:25" ht="13.5" thickBot="1">
      <c r="I4" s="47">
        <f>SP128!C195</f>
        <v>193</v>
      </c>
      <c r="J4" s="41" t="str">
        <f>SP128!D195</f>
        <v>Sieger 161</v>
      </c>
      <c r="K4" s="42">
        <f>SP128!F195</f>
        <v>0</v>
      </c>
      <c r="M4" s="45">
        <f>SP128!C131</f>
        <v>129</v>
      </c>
      <c r="N4" s="41" t="str">
        <f>SP128!D131</f>
        <v>Sieger 65</v>
      </c>
      <c r="O4" s="42">
        <f>SP128!F131</f>
        <v>0</v>
      </c>
      <c r="R4" s="46">
        <f>IF(SP128!L4="","",SP128!L4)</f>
      </c>
      <c r="S4" s="43" t="str">
        <f>SP128!E4</f>
        <v>Spieler 97</v>
      </c>
      <c r="T4" s="44">
        <f>SP128!G4</f>
        <v>0</v>
      </c>
      <c r="W4" s="47">
        <f>SP128!C179</f>
        <v>177</v>
      </c>
      <c r="X4" s="41" t="str">
        <f>SP128!D179</f>
        <v>Sieger 97</v>
      </c>
      <c r="Y4" s="42">
        <f>SP128!F179</f>
        <v>0</v>
      </c>
    </row>
    <row r="5" spans="9:25" ht="13.5" thickBot="1">
      <c r="I5" s="46">
        <f>IF(SP128!L195="","",SP128!L195)</f>
      </c>
      <c r="J5" s="43" t="str">
        <f>SP128!E195</f>
        <v>Verlierer 179</v>
      </c>
      <c r="K5" s="44">
        <f>SP128!G195</f>
        <v>0</v>
      </c>
      <c r="M5" s="46">
        <f>IF(SP128!L131="","",SP128!L131)</f>
      </c>
      <c r="N5" s="43" t="str">
        <f>SP128!E131</f>
        <v>Verlierer 112</v>
      </c>
      <c r="O5" s="44">
        <f>SP128!G131</f>
        <v>0</v>
      </c>
      <c r="R5" s="47">
        <f>SP128!C5</f>
        <v>3</v>
      </c>
      <c r="S5" s="41" t="str">
        <f>SP128!D5</f>
        <v>Spieler 17</v>
      </c>
      <c r="T5" s="42">
        <f>SP128!F5</f>
        <v>0</v>
      </c>
      <c r="W5" s="46">
        <f>IF(SP128!L179="","",SP128!L179)</f>
      </c>
      <c r="X5" s="43" t="str">
        <f>SP128!E179</f>
        <v>Sieger 98</v>
      </c>
      <c r="Y5" s="44">
        <f>SP128!G179</f>
        <v>0</v>
      </c>
    </row>
    <row r="6" spans="11:23" ht="13.5" thickBot="1">
      <c r="K6" s="47">
        <f>SP128!C163</f>
        <v>161</v>
      </c>
      <c r="L6" s="41" t="str">
        <f>SP128!D163</f>
        <v>Sieger 129</v>
      </c>
      <c r="M6" s="42">
        <f>SP128!F163</f>
        <v>0</v>
      </c>
      <c r="O6" s="47">
        <f>SP128!C68</f>
        <v>66</v>
      </c>
      <c r="P6" s="41" t="str">
        <f>SP128!D68</f>
        <v>Verlierer 3</v>
      </c>
      <c r="Q6" s="42">
        <f>SP128!F68</f>
        <v>0</v>
      </c>
      <c r="R6" s="46">
        <f>IF(SP128!L5="","",SP128!L5)</f>
      </c>
      <c r="S6" s="43" t="str">
        <f>SP128!E5</f>
        <v>Spieler 81</v>
      </c>
      <c r="T6" s="44">
        <f>SP128!G5</f>
        <v>0</v>
      </c>
      <c r="U6" s="47">
        <f>SP128!C100</f>
        <v>98</v>
      </c>
      <c r="V6" s="41" t="str">
        <f>SP128!D100</f>
        <v>Sieger 3</v>
      </c>
      <c r="W6" s="42">
        <f>SP128!F100</f>
        <v>0</v>
      </c>
    </row>
    <row r="7" spans="7:23" ht="13.5" thickBot="1">
      <c r="G7" s="47">
        <f>SP128!C211</f>
        <v>209</v>
      </c>
      <c r="H7" s="41" t="str">
        <f>SP128!D211</f>
        <v>Sieger 193</v>
      </c>
      <c r="I7" s="42">
        <f>SP128!F211</f>
        <v>0</v>
      </c>
      <c r="K7" s="46">
        <f>IF(SP128!L163="","",SP128!L163)</f>
      </c>
      <c r="L7" s="43" t="str">
        <f>SP128!E163</f>
        <v>Sieger 130</v>
      </c>
      <c r="M7" s="44">
        <f>SP128!G163</f>
        <v>0</v>
      </c>
      <c r="O7" s="46">
        <f>IF(SP128!L68="","",SP128!L68)</f>
      </c>
      <c r="P7" s="43" t="str">
        <f>SP128!E68</f>
        <v>Verlierer 4</v>
      </c>
      <c r="Q7" s="44">
        <f>SP128!G68</f>
        <v>0</v>
      </c>
      <c r="R7" s="47">
        <f>SP128!C6</f>
        <v>4</v>
      </c>
      <c r="S7" s="41" t="str">
        <f>SP128!D6</f>
        <v>Spieler 49</v>
      </c>
      <c r="T7" s="42">
        <f>SP128!F6</f>
        <v>0</v>
      </c>
      <c r="U7" s="46">
        <f>IF(SP128!L100="","",SP128!L100)</f>
      </c>
      <c r="V7" s="43" t="str">
        <f>SP128!E100</f>
        <v>Sieger 4</v>
      </c>
      <c r="W7" s="44">
        <f>SP128!G100</f>
        <v>0</v>
      </c>
    </row>
    <row r="8" spans="7:27" ht="13.5" thickBot="1">
      <c r="G8" s="46">
        <f>IF(SP128!L211="","",SP128!L211)</f>
      </c>
      <c r="H8" s="43" t="str">
        <f>SP128!E211</f>
        <v>Sieger 194</v>
      </c>
      <c r="I8" s="44">
        <f>SP128!G211</f>
        <v>0</v>
      </c>
      <c r="M8" s="47">
        <f>SP128!C132</f>
        <v>130</v>
      </c>
      <c r="N8" s="41" t="str">
        <f>SP128!D132</f>
        <v>Sieger 66</v>
      </c>
      <c r="O8" s="42">
        <f>SP128!F132</f>
        <v>0</v>
      </c>
      <c r="R8" s="46">
        <f>IF(SP128!L6="","",SP128!L6)</f>
      </c>
      <c r="S8" s="43" t="str">
        <f>SP128!E6</f>
        <v>Spieler 113</v>
      </c>
      <c r="T8" s="44">
        <f>SP128!G6</f>
        <v>0</v>
      </c>
      <c r="Y8" s="47">
        <f>SP128!C219</f>
        <v>217</v>
      </c>
      <c r="Z8" s="41" t="str">
        <f>SP128!D219</f>
        <v>Sieger 177</v>
      </c>
      <c r="AA8" s="42">
        <f>SP128!F219</f>
        <v>0</v>
      </c>
    </row>
    <row r="9" spans="5:27" ht="13.5" thickBot="1">
      <c r="E9" s="47">
        <f>SP128!C227</f>
        <v>225</v>
      </c>
      <c r="F9" s="41" t="str">
        <f>SP128!D227</f>
        <v>Sieger 209</v>
      </c>
      <c r="G9" s="42">
        <f>SP128!F227</f>
        <v>0</v>
      </c>
      <c r="M9" s="46">
        <f>IF(SP128!L132="","",SP128!L132)</f>
      </c>
      <c r="N9" s="43" t="str">
        <f>SP128!E132</f>
        <v>Verlierer 111</v>
      </c>
      <c r="O9" s="44">
        <f>SP128!G132</f>
        <v>0</v>
      </c>
      <c r="R9" s="45">
        <f>SP128!C7</f>
        <v>5</v>
      </c>
      <c r="S9" s="41" t="str">
        <f>SP128!D7</f>
        <v>Spieler 9</v>
      </c>
      <c r="T9" s="42">
        <f>SP128!F7</f>
        <v>0</v>
      </c>
      <c r="Y9" s="46">
        <f>IF(SP128!L219="","",SP128!L219)</f>
      </c>
      <c r="Z9" s="43" t="str">
        <f>SP128!E219</f>
        <v>Sieger 178</v>
      </c>
      <c r="AA9" s="44">
        <f>SP128!G219</f>
        <v>0</v>
      </c>
    </row>
    <row r="10" spans="5:23" ht="13.5" thickBot="1">
      <c r="E10" s="46">
        <f>IF(SP128!L227="","",SP128!L227)</f>
      </c>
      <c r="F10" s="43" t="str">
        <f>SP128!E227</f>
        <v>Verlierer 219</v>
      </c>
      <c r="G10" s="44">
        <f>SP128!G227</f>
        <v>0</v>
      </c>
      <c r="O10" s="45">
        <f>SP128!C69</f>
        <v>67</v>
      </c>
      <c r="P10" s="41" t="str">
        <f>SP128!D69</f>
        <v>Verlierer 5</v>
      </c>
      <c r="Q10" s="42">
        <f>SP128!F69</f>
        <v>0</v>
      </c>
      <c r="R10" s="46">
        <f>IF(SP128!L7="","",SP128!L7)</f>
      </c>
      <c r="S10" s="43" t="str">
        <f>SP128!E7</f>
        <v>Spieler 73</v>
      </c>
      <c r="T10" s="44">
        <f>SP128!G7</f>
        <v>0</v>
      </c>
      <c r="U10" s="45">
        <f>SP128!C101</f>
        <v>99</v>
      </c>
      <c r="V10" s="41" t="str">
        <f>SP128!D101</f>
        <v>Sieger 5</v>
      </c>
      <c r="W10" s="42">
        <f>SP128!F101</f>
        <v>0</v>
      </c>
    </row>
    <row r="11" spans="15:23" ht="13.5" thickBot="1">
      <c r="O11" s="46">
        <f>IF(SP128!L69="","",SP128!L69)</f>
      </c>
      <c r="P11" s="43" t="str">
        <f>SP128!E69</f>
        <v>Verlierer 6</v>
      </c>
      <c r="Q11" s="44">
        <f>SP128!G69</f>
        <v>0</v>
      </c>
      <c r="R11" s="47">
        <f>SP128!C8</f>
        <v>6</v>
      </c>
      <c r="S11" s="41" t="str">
        <f>SP128!D8</f>
        <v>Spieler 41</v>
      </c>
      <c r="T11" s="42">
        <f>SP128!F8</f>
        <v>0</v>
      </c>
      <c r="U11" s="46">
        <f>IF(SP128!L101="","",SP128!L101)</f>
      </c>
      <c r="V11" s="43" t="str">
        <f>SP128!E101</f>
        <v>Sieger 6</v>
      </c>
      <c r="W11" s="44">
        <f>SP128!G101</f>
        <v>0</v>
      </c>
    </row>
    <row r="12" spans="9:25" ht="13.5" thickBot="1">
      <c r="I12" s="47">
        <f>SP128!C196</f>
        <v>194</v>
      </c>
      <c r="J12" s="41" t="str">
        <f>SP128!D196</f>
        <v>Sieger 162</v>
      </c>
      <c r="K12" s="42">
        <f>SP128!F196</f>
        <v>0</v>
      </c>
      <c r="M12" s="45">
        <f>SP128!C133</f>
        <v>131</v>
      </c>
      <c r="N12" s="41" t="str">
        <f>SP128!D133</f>
        <v>Sieger 67</v>
      </c>
      <c r="O12" s="42">
        <f>SP128!F133</f>
        <v>0</v>
      </c>
      <c r="R12" s="46">
        <f>IF(SP128!L8="","",SP128!L8)</f>
      </c>
      <c r="S12" s="43" t="str">
        <f>SP128!E8</f>
        <v>Spieler 105</v>
      </c>
      <c r="T12" s="44">
        <f>SP128!G8</f>
        <v>0</v>
      </c>
      <c r="W12" s="47">
        <f>SP128!C180</f>
        <v>178</v>
      </c>
      <c r="X12" s="41" t="str">
        <f>SP128!D180</f>
        <v>Sieger 99</v>
      </c>
      <c r="Y12" s="42">
        <f>SP128!F180</f>
        <v>0</v>
      </c>
    </row>
    <row r="13" spans="9:25" ht="13.5" thickBot="1">
      <c r="I13" s="46">
        <f>IF(SP128!L196="","",SP128!L196)</f>
      </c>
      <c r="J13" s="43" t="str">
        <f>SP128!E196</f>
        <v>Verlierer 180</v>
      </c>
      <c r="K13" s="44">
        <f>SP128!G196</f>
        <v>0</v>
      </c>
      <c r="M13" s="46">
        <f>IF(SP128!L133="","",SP128!L133)</f>
      </c>
      <c r="N13" s="43" t="str">
        <f>SP128!E133</f>
        <v>Verlierer 110</v>
      </c>
      <c r="O13" s="44">
        <f>SP128!G133</f>
        <v>0</v>
      </c>
      <c r="R13" s="45">
        <f>SP128!C9</f>
        <v>7</v>
      </c>
      <c r="S13" s="41" t="str">
        <f>SP128!D9</f>
        <v>Spieler 25</v>
      </c>
      <c r="T13" s="42">
        <f>SP128!F9</f>
        <v>0</v>
      </c>
      <c r="W13" s="46">
        <f>IF(SP128!L180="","",SP128!L180)</f>
      </c>
      <c r="X13" s="43" t="str">
        <f>SP128!E180</f>
        <v>Sieger 100</v>
      </c>
      <c r="Y13" s="44">
        <f>SP128!G180</f>
        <v>0</v>
      </c>
    </row>
    <row r="14" spans="11:23" ht="13.5" thickBot="1">
      <c r="K14" s="47">
        <f>SP128!C164</f>
        <v>162</v>
      </c>
      <c r="L14" s="41" t="str">
        <f>SP128!D164</f>
        <v>Sieger 131</v>
      </c>
      <c r="M14" s="42">
        <f>SP128!F164</f>
        <v>0</v>
      </c>
      <c r="O14" s="47">
        <f>SP128!C70</f>
        <v>68</v>
      </c>
      <c r="P14" s="41" t="str">
        <f>SP128!D70</f>
        <v>Verlierer 7</v>
      </c>
      <c r="Q14" s="42">
        <f>SP128!F70</f>
        <v>0</v>
      </c>
      <c r="R14" s="46">
        <f>IF(SP128!L9="","",SP128!L9)</f>
      </c>
      <c r="S14" s="43" t="str">
        <f>SP128!E9</f>
        <v>Spieler 89</v>
      </c>
      <c r="T14" s="44">
        <f>SP128!G9</f>
        <v>0</v>
      </c>
      <c r="U14" s="47">
        <f>SP128!C102</f>
        <v>100</v>
      </c>
      <c r="V14" s="41" t="str">
        <f>SP128!D102</f>
        <v>Sieger 7</v>
      </c>
      <c r="W14" s="42">
        <f>SP128!F102</f>
        <v>0</v>
      </c>
    </row>
    <row r="15" spans="11:23" ht="13.5" thickBot="1">
      <c r="K15" s="46">
        <f>IF(SP128!L164="","",SP128!L164)</f>
      </c>
      <c r="L15" s="43" t="str">
        <f>SP128!E164</f>
        <v>Sieger 132</v>
      </c>
      <c r="M15" s="44">
        <f>SP128!G164</f>
        <v>0</v>
      </c>
      <c r="O15" s="46">
        <f>IF(SP128!L70="","",SP128!L70)</f>
      </c>
      <c r="P15" s="43" t="str">
        <f>SP128!E70</f>
        <v>Verlierer 8</v>
      </c>
      <c r="Q15" s="44">
        <f>SP128!G70</f>
        <v>0</v>
      </c>
      <c r="R15" s="47">
        <f>SP128!C10</f>
        <v>8</v>
      </c>
      <c r="S15" s="41" t="str">
        <f>SP128!D10</f>
        <v>Spieler 57</v>
      </c>
      <c r="T15" s="42">
        <f>SP128!F10</f>
        <v>0</v>
      </c>
      <c r="U15" s="46">
        <f>IF(SP128!L102="","",SP128!L102)</f>
      </c>
      <c r="V15" s="43" t="str">
        <f>SP128!E102</f>
        <v>Sieger 8</v>
      </c>
      <c r="W15" s="44">
        <f>SP128!G102</f>
        <v>0</v>
      </c>
    </row>
    <row r="16" spans="5:29" ht="13.5" thickBot="1">
      <c r="E16" s="47">
        <f>SP128!C235</f>
        <v>233</v>
      </c>
      <c r="F16" s="41" t="str">
        <f>SP128!D235</f>
        <v>Sieger 225</v>
      </c>
      <c r="G16" s="42">
        <f>SP128!F235</f>
        <v>0</v>
      </c>
      <c r="M16" s="47">
        <f>SP128!C134</f>
        <v>132</v>
      </c>
      <c r="N16" s="41" t="str">
        <f>SP128!D134</f>
        <v>Sieger 68</v>
      </c>
      <c r="O16" s="42">
        <f>SP128!F134</f>
        <v>0</v>
      </c>
      <c r="R16" s="46">
        <f>IF(SP128!L10="","",SP128!L10)</f>
      </c>
      <c r="S16" s="43" t="str">
        <f>SP128!E10</f>
        <v>Spieler 121</v>
      </c>
      <c r="T16" s="44">
        <f>SP128!G10</f>
        <v>0</v>
      </c>
      <c r="AA16" s="47">
        <f>SP128!C239</f>
        <v>237</v>
      </c>
      <c r="AB16" s="41" t="str">
        <f>SP128!D239</f>
        <v>Sieger 217</v>
      </c>
      <c r="AC16" s="42">
        <f>SP128!F239</f>
        <v>0</v>
      </c>
    </row>
    <row r="17" spans="5:29" ht="13.5" thickBot="1">
      <c r="E17" s="46">
        <f>IF(SP128!L235="","",SP128!L235)</f>
      </c>
      <c r="F17" s="43" t="str">
        <f>SP128!E235</f>
        <v>Sieger 226</v>
      </c>
      <c r="G17" s="44">
        <f>SP128!G235</f>
        <v>0</v>
      </c>
      <c r="M17" s="46">
        <f>IF(SP128!L134="","",SP128!L134)</f>
      </c>
      <c r="N17" s="43" t="str">
        <f>SP128!E134</f>
        <v>Verlierer 109</v>
      </c>
      <c r="O17" s="44">
        <f>SP128!G134</f>
        <v>0</v>
      </c>
      <c r="R17" s="45">
        <f>SP128!C11</f>
        <v>9</v>
      </c>
      <c r="S17" s="41" t="str">
        <f>SP128!D11</f>
        <v>Spieler 5</v>
      </c>
      <c r="T17" s="42">
        <f>SP128!F11</f>
        <v>0</v>
      </c>
      <c r="AA17" s="46">
        <f>IF(SP128!L239="","",SP128!L239)</f>
      </c>
      <c r="AB17" s="43" t="str">
        <f>SP128!E239</f>
        <v>Sieger 218</v>
      </c>
      <c r="AC17" s="44">
        <f>SP128!G239</f>
        <v>0</v>
      </c>
    </row>
    <row r="18" spans="3:23" ht="13.5" thickBot="1">
      <c r="C18" s="47">
        <f>SP128!C243</f>
        <v>241</v>
      </c>
      <c r="D18" s="41" t="str">
        <f>SP128!D243</f>
        <v>Sieger 233</v>
      </c>
      <c r="E18" s="42">
        <f>SP128!F243</f>
        <v>0</v>
      </c>
      <c r="O18" s="45">
        <f>SP128!C71</f>
        <v>69</v>
      </c>
      <c r="P18" s="41" t="str">
        <f>SP128!D71</f>
        <v>Verlierer 9</v>
      </c>
      <c r="Q18" s="42">
        <f>SP128!F71</f>
        <v>0</v>
      </c>
      <c r="R18" s="46">
        <f>IF(SP128!L11="","",SP128!L11)</f>
      </c>
      <c r="S18" s="43" t="str">
        <f>SP128!E11</f>
        <v>Spieler 69</v>
      </c>
      <c r="T18" s="44">
        <f>SP128!G11</f>
        <v>0</v>
      </c>
      <c r="U18" s="47">
        <f>SP128!C103</f>
        <v>101</v>
      </c>
      <c r="V18" s="41" t="str">
        <f>SP128!D103</f>
        <v>Sieger 9</v>
      </c>
      <c r="W18" s="42">
        <f>SP128!F103</f>
        <v>0</v>
      </c>
    </row>
    <row r="19" spans="3:23" ht="13.5" thickBot="1">
      <c r="C19" s="46">
        <f>IF(SP128!L243="","",SP128!L243)</f>
      </c>
      <c r="D19" s="43" t="str">
        <f>SP128!E243</f>
        <v>Verlierer 238</v>
      </c>
      <c r="E19" s="44">
        <f>SP128!G243</f>
        <v>0</v>
      </c>
      <c r="O19" s="46">
        <f>IF(SP128!L71="","",SP128!L71)</f>
      </c>
      <c r="P19" s="43" t="str">
        <f>SP128!E71</f>
        <v>Verlierer 10</v>
      </c>
      <c r="Q19" s="44">
        <f>SP128!G71</f>
        <v>0</v>
      </c>
      <c r="R19" s="47">
        <f>SP128!C12</f>
        <v>10</v>
      </c>
      <c r="S19" s="41" t="str">
        <f>SP128!D12</f>
        <v>Spieler 37</v>
      </c>
      <c r="T19" s="42">
        <f>SP128!F12</f>
        <v>0</v>
      </c>
      <c r="U19" s="46">
        <f>IF(SP128!L103="","",SP128!L103)</f>
      </c>
      <c r="V19" s="43" t="str">
        <f>SP128!E103</f>
        <v>Sieger 10</v>
      </c>
      <c r="W19" s="44">
        <f>SP128!G103</f>
        <v>0</v>
      </c>
    </row>
    <row r="20" spans="9:25" ht="13.5" thickBot="1">
      <c r="I20" s="47">
        <f>SP128!C197</f>
        <v>195</v>
      </c>
      <c r="J20" s="41" t="str">
        <f>SP128!D197</f>
        <v>Sieger 163</v>
      </c>
      <c r="K20" s="42">
        <f>SP128!F197</f>
        <v>0</v>
      </c>
      <c r="M20" s="47">
        <f>SP128!C135</f>
        <v>133</v>
      </c>
      <c r="N20" s="41" t="str">
        <f>SP128!D135</f>
        <v>Sieger 69</v>
      </c>
      <c r="O20" s="42">
        <f>SP128!F135</f>
        <v>0</v>
      </c>
      <c r="R20" s="46">
        <f>IF(SP128!L12="","",SP128!L12)</f>
      </c>
      <c r="S20" s="43" t="str">
        <f>SP128!E12</f>
        <v>Spieler 101</v>
      </c>
      <c r="T20" s="44">
        <f>SP128!G12</f>
        <v>0</v>
      </c>
      <c r="W20" s="47">
        <f>SP128!C181</f>
        <v>179</v>
      </c>
      <c r="X20" s="41" t="str">
        <f>SP128!D181</f>
        <v>Sieger 101</v>
      </c>
      <c r="Y20" s="42">
        <f>SP128!F181</f>
        <v>0</v>
      </c>
    </row>
    <row r="21" spans="9:25" ht="13.5" thickBot="1">
      <c r="I21" s="46">
        <f>IF(SP128!L197="","",SP128!L197)</f>
      </c>
      <c r="J21" s="43" t="str">
        <f>SP128!E197</f>
        <v>Verlierer 177</v>
      </c>
      <c r="K21" s="44">
        <f>SP128!G197</f>
        <v>0</v>
      </c>
      <c r="M21" s="46">
        <f>IF(SP128!L135="","",SP128!L135)</f>
      </c>
      <c r="N21" s="43" t="str">
        <f>SP128!E135</f>
        <v>Verlierer 108</v>
      </c>
      <c r="O21" s="44">
        <f>SP128!G135</f>
        <v>0</v>
      </c>
      <c r="R21" s="47">
        <f>SP128!C13</f>
        <v>11</v>
      </c>
      <c r="S21" s="41" t="str">
        <f>SP128!D13</f>
        <v>Spieler 21</v>
      </c>
      <c r="T21" s="42">
        <f>SP128!F13</f>
        <v>0</v>
      </c>
      <c r="W21" s="46">
        <f>IF(SP128!L181="","",SP128!L181)</f>
      </c>
      <c r="X21" s="43" t="str">
        <f>SP128!E181</f>
        <v>Sieger 102</v>
      </c>
      <c r="Y21" s="44">
        <f>SP128!G181</f>
        <v>0</v>
      </c>
    </row>
    <row r="22" spans="11:23" ht="13.5" thickBot="1">
      <c r="K22" s="47">
        <f>SP128!C165</f>
        <v>163</v>
      </c>
      <c r="L22" s="41" t="str">
        <f>SP128!D165</f>
        <v>Sieger 133</v>
      </c>
      <c r="M22" s="42">
        <f>SP128!F165</f>
        <v>0</v>
      </c>
      <c r="O22" s="47">
        <f>SP128!C72</f>
        <v>70</v>
      </c>
      <c r="P22" s="41" t="str">
        <f>SP128!D72</f>
        <v>Verlierer 11</v>
      </c>
      <c r="Q22" s="42">
        <f>SP128!F72</f>
        <v>0</v>
      </c>
      <c r="R22" s="46">
        <f>IF(SP128!L13="","",SP128!L13)</f>
      </c>
      <c r="S22" s="43" t="str">
        <f>SP128!E13</f>
        <v>Spieler 85</v>
      </c>
      <c r="T22" s="44">
        <f>SP128!G13</f>
        <v>0</v>
      </c>
      <c r="U22" s="47">
        <f>SP128!C104</f>
        <v>102</v>
      </c>
      <c r="V22" s="41" t="str">
        <f>SP128!D104</f>
        <v>Sieger 11</v>
      </c>
      <c r="W22" s="42">
        <f>SP128!F104</f>
        <v>0</v>
      </c>
    </row>
    <row r="23" spans="7:23" ht="13.5" thickBot="1">
      <c r="G23" s="45">
        <f>SP128!C212</f>
        <v>210</v>
      </c>
      <c r="H23" s="41" t="str">
        <f>SP128!D212</f>
        <v>Sieger 195</v>
      </c>
      <c r="I23" s="42">
        <f>SP128!F212</f>
        <v>0</v>
      </c>
      <c r="K23" s="46">
        <f>IF(SP128!L165="","",SP128!L165)</f>
      </c>
      <c r="L23" s="43" t="str">
        <f>SP128!E165</f>
        <v>Sieger 134</v>
      </c>
      <c r="M23" s="44">
        <f>SP128!G165</f>
        <v>0</v>
      </c>
      <c r="O23" s="46">
        <f>IF(SP128!L72="","",SP128!L72)</f>
      </c>
      <c r="P23" s="43" t="str">
        <f>SP128!E72</f>
        <v>Verlierer 12</v>
      </c>
      <c r="Q23" s="44">
        <f>SP128!G72</f>
        <v>0</v>
      </c>
      <c r="R23" s="47">
        <f>SP128!C14</f>
        <v>12</v>
      </c>
      <c r="S23" s="41" t="str">
        <f>SP128!D14</f>
        <v>Spieler 53</v>
      </c>
      <c r="T23" s="42">
        <f>SP128!F14</f>
        <v>0</v>
      </c>
      <c r="U23" s="46">
        <f>IF(SP128!L104="","",SP128!L104)</f>
      </c>
      <c r="V23" s="43" t="str">
        <f>SP128!E104</f>
        <v>Sieger 12</v>
      </c>
      <c r="W23" s="44">
        <f>SP128!G104</f>
        <v>0</v>
      </c>
    </row>
    <row r="24" spans="7:27" ht="13.5" thickBot="1">
      <c r="G24" s="46">
        <f>IF(SP128!L212="","",SP128!L212)</f>
      </c>
      <c r="H24" s="43" t="str">
        <f>SP128!E212</f>
        <v>Sieger 196</v>
      </c>
      <c r="I24" s="44">
        <f>SP128!G212</f>
        <v>0</v>
      </c>
      <c r="M24" s="47">
        <f>SP128!C136</f>
        <v>134</v>
      </c>
      <c r="N24" s="41" t="str">
        <f>SP128!D136</f>
        <v>Sieger 70</v>
      </c>
      <c r="O24" s="42">
        <f>SP128!F136</f>
        <v>0</v>
      </c>
      <c r="R24" s="46">
        <f>IF(SP128!L14="","",SP128!L14)</f>
      </c>
      <c r="S24" s="43" t="str">
        <f>SP128!E14</f>
        <v>Spieler 117</v>
      </c>
      <c r="T24" s="44">
        <f>SP128!G14</f>
        <v>0</v>
      </c>
      <c r="Y24" s="45">
        <f>SP128!C220</f>
        <v>218</v>
      </c>
      <c r="Z24" s="41" t="str">
        <f>SP128!D220</f>
        <v>Sieger 179</v>
      </c>
      <c r="AA24" s="42">
        <f>SP128!F220</f>
        <v>0</v>
      </c>
    </row>
    <row r="25" spans="5:27" ht="13.5" thickBot="1">
      <c r="E25" s="45">
        <f>SP128!C228</f>
        <v>226</v>
      </c>
      <c r="F25" s="41" t="str">
        <f>SP128!D228</f>
        <v>Sieger 210</v>
      </c>
      <c r="G25" s="42">
        <f>SP128!F228</f>
        <v>0</v>
      </c>
      <c r="M25" s="46">
        <f>IF(SP128!L136="","",SP128!L136)</f>
      </c>
      <c r="N25" s="43" t="str">
        <f>SP128!E136</f>
        <v>Verlierer 107</v>
      </c>
      <c r="O25" s="44">
        <f>SP128!G136</f>
        <v>0</v>
      </c>
      <c r="R25" s="45">
        <f>SP128!C15</f>
        <v>13</v>
      </c>
      <c r="S25" s="41" t="str">
        <f>SP128!D15</f>
        <v>Spieler 13</v>
      </c>
      <c r="T25" s="42">
        <f>SP128!F15</f>
        <v>0</v>
      </c>
      <c r="Y25" s="46">
        <f>IF(SP128!L220="","",SP128!L220)</f>
      </c>
      <c r="Z25" s="43" t="str">
        <f>SP128!E220</f>
        <v>Sieger 180</v>
      </c>
      <c r="AA25" s="44">
        <f>SP128!G220</f>
        <v>0</v>
      </c>
    </row>
    <row r="26" spans="5:23" ht="13.5" thickBot="1">
      <c r="E26" s="46">
        <f>IF(SP128!L228="","",SP128!L228)</f>
      </c>
      <c r="F26" s="43" t="str">
        <f>SP128!E228</f>
        <v>Verlierer 220</v>
      </c>
      <c r="G26" s="44">
        <f>SP128!G228</f>
        <v>0</v>
      </c>
      <c r="O26" s="47">
        <f>SP128!C73</f>
        <v>71</v>
      </c>
      <c r="P26" s="41" t="str">
        <f>SP128!D73</f>
        <v>Verlierer 13</v>
      </c>
      <c r="Q26" s="42">
        <f>SP128!F73</f>
        <v>0</v>
      </c>
      <c r="R26" s="46">
        <f>IF(SP128!L15="","",SP128!L15)</f>
      </c>
      <c r="S26" s="43" t="str">
        <f>SP128!E15</f>
        <v>Spieler 77</v>
      </c>
      <c r="T26" s="44">
        <f>SP128!G15</f>
        <v>0</v>
      </c>
      <c r="U26" s="45">
        <f>SP128!C105</f>
        <v>103</v>
      </c>
      <c r="V26" s="41" t="str">
        <f>SP128!D105</f>
        <v>Sieger 13</v>
      </c>
      <c r="W26" s="42">
        <f>SP128!F105</f>
        <v>0</v>
      </c>
    </row>
    <row r="27" spans="15:23" ht="13.5" thickBot="1">
      <c r="O27" s="46">
        <f>IF(SP128!L73="","",SP128!L73)</f>
      </c>
      <c r="P27" s="43" t="str">
        <f>SP128!E73</f>
        <v>Verlierer 14</v>
      </c>
      <c r="Q27" s="44">
        <f>SP128!G73</f>
        <v>0</v>
      </c>
      <c r="R27" s="47">
        <f>SP128!C16</f>
        <v>14</v>
      </c>
      <c r="S27" s="41" t="str">
        <f>SP128!D16</f>
        <v>Spieler 45</v>
      </c>
      <c r="T27" s="42">
        <f>SP128!F16</f>
        <v>0</v>
      </c>
      <c r="U27" s="46">
        <f>IF(SP128!L105="","",SP128!L105)</f>
      </c>
      <c r="V27" s="43" t="str">
        <f>SP128!E105</f>
        <v>Sieger 14</v>
      </c>
      <c r="W27" s="44">
        <f>SP128!G105</f>
        <v>0</v>
      </c>
    </row>
    <row r="28" spans="9:25" ht="13.5" thickBot="1">
      <c r="I28" s="45">
        <f>SP128!C198</f>
        <v>196</v>
      </c>
      <c r="J28" s="41" t="str">
        <f>SP128!D198</f>
        <v>Sieger 164</v>
      </c>
      <c r="K28" s="42">
        <f>SP128!F198</f>
        <v>0</v>
      </c>
      <c r="M28" s="45">
        <f>SP128!C137</f>
        <v>135</v>
      </c>
      <c r="N28" s="41" t="str">
        <f>SP128!D137</f>
        <v>Sieger 71</v>
      </c>
      <c r="O28" s="42">
        <f>SP128!F137</f>
        <v>0</v>
      </c>
      <c r="R28" s="46">
        <f>IF(SP128!L16="","",SP128!L16)</f>
      </c>
      <c r="S28" s="43" t="str">
        <f>SP128!E16</f>
        <v>Spieler 109</v>
      </c>
      <c r="T28" s="44">
        <f>SP128!G16</f>
        <v>0</v>
      </c>
      <c r="W28" s="45">
        <f>SP128!C182</f>
        <v>180</v>
      </c>
      <c r="X28" s="41" t="str">
        <f>SP128!D182</f>
        <v>Sieger 103</v>
      </c>
      <c r="Y28" s="42">
        <f>SP128!F182</f>
        <v>0</v>
      </c>
    </row>
    <row r="29" spans="9:25" ht="13.5" thickBot="1">
      <c r="I29" s="46">
        <f>IF(SP128!L198="","",SP128!L198)</f>
      </c>
      <c r="J29" s="43" t="str">
        <f>SP128!E198</f>
        <v>Verlierer 178</v>
      </c>
      <c r="K29" s="44">
        <f>SP128!G198</f>
        <v>0</v>
      </c>
      <c r="M29" s="46">
        <f>IF(SP128!L137="","",SP128!L137)</f>
      </c>
      <c r="N29" s="43" t="str">
        <f>SP128!E137</f>
        <v>Verlierer 106</v>
      </c>
      <c r="O29" s="44">
        <f>SP128!G137</f>
        <v>0</v>
      </c>
      <c r="R29" s="47">
        <f>SP128!C17</f>
        <v>15</v>
      </c>
      <c r="S29" s="41" t="str">
        <f>SP128!D17</f>
        <v>Spieler 29</v>
      </c>
      <c r="T29" s="42">
        <f>SP128!F17</f>
        <v>0</v>
      </c>
      <c r="W29" s="46">
        <f>IF(SP128!L182="","",SP128!L182)</f>
      </c>
      <c r="X29" s="43" t="str">
        <f>SP128!E182</f>
        <v>Sieger 104</v>
      </c>
      <c r="Y29" s="44">
        <f>SP128!G182</f>
        <v>0</v>
      </c>
    </row>
    <row r="30" spans="11:23" ht="13.5" thickBot="1">
      <c r="K30" s="45">
        <f>SP128!C166</f>
        <v>164</v>
      </c>
      <c r="L30" s="41" t="str">
        <f>SP128!D166</f>
        <v>Sieger 135</v>
      </c>
      <c r="M30" s="42">
        <f>SP128!F166</f>
        <v>0</v>
      </c>
      <c r="O30" s="47">
        <f>SP128!C74</f>
        <v>72</v>
      </c>
      <c r="P30" s="41" t="str">
        <f>SP128!D74</f>
        <v>Verlierer 15</v>
      </c>
      <c r="Q30" s="42">
        <f>SP128!F74</f>
        <v>0</v>
      </c>
      <c r="R30" s="46">
        <f>IF(SP128!L17="","",SP128!L17)</f>
      </c>
      <c r="S30" s="43" t="str">
        <f>SP128!E17</f>
        <v>Spieler 93</v>
      </c>
      <c r="T30" s="44">
        <f>SP128!G17</f>
        <v>0</v>
      </c>
      <c r="U30" s="47">
        <f>SP128!C106</f>
        <v>104</v>
      </c>
      <c r="V30" s="41" t="str">
        <f>SP128!D106</f>
        <v>Sieger 15</v>
      </c>
      <c r="W30" s="42">
        <f>SP128!F106</f>
        <v>0</v>
      </c>
    </row>
    <row r="31" spans="11:23" ht="13.5" thickBot="1">
      <c r="K31" s="46">
        <f>IF(SP128!L166="","",SP128!L166)</f>
      </c>
      <c r="L31" s="43" t="str">
        <f>SP128!E166</f>
        <v>Sieger 136</v>
      </c>
      <c r="M31" s="44">
        <f>SP128!G166</f>
        <v>0</v>
      </c>
      <c r="O31" s="46">
        <f>IF(SP128!L74="","",SP128!L74)</f>
      </c>
      <c r="P31" s="43" t="str">
        <f>SP128!E74</f>
        <v>Verlierer 16</v>
      </c>
      <c r="Q31" s="44">
        <f>SP128!G74</f>
        <v>0</v>
      </c>
      <c r="R31" s="47">
        <f>SP128!C18</f>
        <v>16</v>
      </c>
      <c r="S31" s="41" t="str">
        <f>SP128!D18</f>
        <v>Spieler 61</v>
      </c>
      <c r="T31" s="42">
        <f>SP128!F18</f>
        <v>0</v>
      </c>
      <c r="U31" s="46">
        <f>IF(SP128!L106="","",SP128!L106)</f>
      </c>
      <c r="V31" s="43" t="str">
        <f>SP128!E106</f>
        <v>Sieger 16</v>
      </c>
      <c r="W31" s="44">
        <f>SP128!G106</f>
        <v>0</v>
      </c>
    </row>
    <row r="32" spans="13:31" ht="13.5" thickBot="1">
      <c r="M32" s="45">
        <f>SP128!C138</f>
        <v>136</v>
      </c>
      <c r="N32" s="41" t="str">
        <f>SP128!D138</f>
        <v>Sieger 72</v>
      </c>
      <c r="O32" s="42">
        <f>SP128!F138</f>
        <v>0</v>
      </c>
      <c r="R32" s="46">
        <f>IF(SP128!L18="","",SP128!L18)</f>
      </c>
      <c r="S32" s="43" t="str">
        <f>SP128!E18</f>
        <v>Spieler 125</v>
      </c>
      <c r="T32" s="44">
        <f>SP128!G18</f>
        <v>0</v>
      </c>
      <c r="AC32" s="47">
        <f>SP128!C249</f>
        <v>247</v>
      </c>
      <c r="AD32" s="41" t="str">
        <f>SP128!D249</f>
        <v>Sieger 237</v>
      </c>
      <c r="AE32" s="42">
        <f>SP128!F249</f>
        <v>0</v>
      </c>
    </row>
    <row r="33" spans="3:31" ht="13.5" thickBot="1">
      <c r="C33" s="47">
        <f>SP128!C247</f>
        <v>245</v>
      </c>
      <c r="D33" s="41" t="str">
        <f>SP128!D247</f>
        <v>Sieger 241</v>
      </c>
      <c r="E33" s="42">
        <f>SP128!F247</f>
        <v>0</v>
      </c>
      <c r="M33" s="46">
        <f>IF(SP128!L138="","",SP128!L138)</f>
      </c>
      <c r="N33" s="43" t="str">
        <f>SP128!E138</f>
        <v>Verlierer 105</v>
      </c>
      <c r="O33" s="44">
        <f>SP128!G138</f>
        <v>0</v>
      </c>
      <c r="R33" s="45">
        <f>SP128!C19</f>
        <v>17</v>
      </c>
      <c r="S33" s="41" t="str">
        <f>SP128!D19</f>
        <v>Spieler 3</v>
      </c>
      <c r="T33" s="42">
        <f>SP128!F19</f>
        <v>0</v>
      </c>
      <c r="AC33" s="46">
        <f>IF(SP128!L249="","",SP128!L249)</f>
      </c>
      <c r="AD33" s="43" t="str">
        <f>SP128!E249</f>
        <v>Sieger 238</v>
      </c>
      <c r="AE33" s="44">
        <f>SP128!G249</f>
        <v>0</v>
      </c>
    </row>
    <row r="34" spans="3:23" ht="13.5" thickBot="1">
      <c r="C34" s="46">
        <f>IF(SP128!L247="","",SP128!L247)</f>
      </c>
      <c r="D34" s="43" t="str">
        <f>SP128!E247</f>
        <v>Sieger 242</v>
      </c>
      <c r="E34" s="44">
        <f>SP128!G247</f>
        <v>0</v>
      </c>
      <c r="O34" s="45">
        <f>SP128!C75</f>
        <v>73</v>
      </c>
      <c r="P34" s="41" t="str">
        <f>SP128!D75</f>
        <v>Verlierer 17</v>
      </c>
      <c r="Q34" s="42">
        <f>SP128!F75</f>
        <v>0</v>
      </c>
      <c r="R34" s="46">
        <f>IF(SP128!L19="","",SP128!L19)</f>
      </c>
      <c r="S34" s="43" t="str">
        <f>SP128!E19</f>
        <v>Spieler 67</v>
      </c>
      <c r="T34" s="44">
        <f>SP128!G19</f>
        <v>0</v>
      </c>
      <c r="U34" s="47">
        <f>SP128!C107</f>
        <v>105</v>
      </c>
      <c r="V34" s="41" t="str">
        <f>SP128!D107</f>
        <v>Sieger 17</v>
      </c>
      <c r="W34" s="42">
        <f>SP128!F107</f>
        <v>0</v>
      </c>
    </row>
    <row r="35" spans="1:23" ht="13.5" thickBot="1">
      <c r="A35" s="47">
        <f>SP128!C251</f>
        <v>249</v>
      </c>
      <c r="B35" s="41" t="str">
        <f>SP128!D251</f>
        <v>Sieger 245</v>
      </c>
      <c r="C35" s="42">
        <f>SP128!F251</f>
        <v>0</v>
      </c>
      <c r="O35" s="46">
        <f>IF(SP128!L75="","",SP128!L75)</f>
      </c>
      <c r="P35" s="43" t="str">
        <f>SP128!E75</f>
        <v>Verlierer 18</v>
      </c>
      <c r="Q35" s="44">
        <f>SP128!G75</f>
        <v>0</v>
      </c>
      <c r="R35" s="47">
        <f>SP128!C20</f>
        <v>18</v>
      </c>
      <c r="S35" s="41" t="str">
        <f>SP128!D20</f>
        <v>Spieler 35</v>
      </c>
      <c r="T35" s="42">
        <f>SP128!F20</f>
        <v>0</v>
      </c>
      <c r="U35" s="46">
        <f>IF(SP128!L107="","",SP128!L107)</f>
      </c>
      <c r="V35" s="43" t="str">
        <f>SP128!E107</f>
        <v>Sieger 18</v>
      </c>
      <c r="W35" s="44">
        <f>SP128!G107</f>
        <v>0</v>
      </c>
    </row>
    <row r="36" spans="1:25" ht="13.5" thickBot="1">
      <c r="A36" s="46">
        <f>IF(SP128!L251="","",SP128!L251)</f>
      </c>
      <c r="B36" s="43" t="str">
        <f>SP128!E251</f>
        <v>Verlierer 247</v>
      </c>
      <c r="C36" s="44">
        <f>SP128!G251</f>
        <v>0</v>
      </c>
      <c r="I36" s="47">
        <f>SP128!C199</f>
        <v>197</v>
      </c>
      <c r="J36" s="41" t="str">
        <f>SP128!D199</f>
        <v>Sieger 165</v>
      </c>
      <c r="K36" s="42">
        <f>SP128!F199</f>
        <v>0</v>
      </c>
      <c r="M36" s="47">
        <f>SP128!C139</f>
        <v>137</v>
      </c>
      <c r="N36" s="41" t="str">
        <f>SP128!D139</f>
        <v>Sieger 73</v>
      </c>
      <c r="O36" s="42">
        <f>SP128!F139</f>
        <v>0</v>
      </c>
      <c r="R36" s="46">
        <f>IF(SP128!L20="","",SP128!L20)</f>
      </c>
      <c r="S36" s="43" t="str">
        <f>SP128!E20</f>
        <v>Spieler 99</v>
      </c>
      <c r="T36" s="44">
        <f>SP128!G20</f>
        <v>0</v>
      </c>
      <c r="W36" s="47">
        <f>SP128!C183</f>
        <v>181</v>
      </c>
      <c r="X36" s="41" t="str">
        <f>SP128!D183</f>
        <v>Sieger 105</v>
      </c>
      <c r="Y36" s="42">
        <f>SP128!F183</f>
        <v>0</v>
      </c>
    </row>
    <row r="37" spans="9:25" ht="13.5" thickBot="1">
      <c r="I37" s="46">
        <f>IF(SP128!L199="","",SP128!L199)</f>
      </c>
      <c r="J37" s="43" t="str">
        <f>SP128!E199</f>
        <v>Verlierer 183</v>
      </c>
      <c r="K37" s="44">
        <f>SP128!G199</f>
        <v>0</v>
      </c>
      <c r="M37" s="46">
        <f>IF(SP128!L139="","",SP128!L139)</f>
      </c>
      <c r="N37" s="43" t="str">
        <f>SP128!E139</f>
        <v>Verlierer 104</v>
      </c>
      <c r="O37" s="44">
        <f>SP128!G139</f>
        <v>0</v>
      </c>
      <c r="R37" s="47">
        <f>SP128!C21</f>
        <v>19</v>
      </c>
      <c r="S37" s="41" t="str">
        <f>SP128!D21</f>
        <v>Spieler 19</v>
      </c>
      <c r="T37" s="42">
        <f>SP128!F21</f>
        <v>0</v>
      </c>
      <c r="W37" s="46">
        <f>IF(SP128!L183="","",SP128!L183)</f>
      </c>
      <c r="X37" s="43" t="str">
        <f>SP128!E183</f>
        <v>Sieger 106</v>
      </c>
      <c r="Y37" s="44">
        <f>SP128!G183</f>
        <v>0</v>
      </c>
    </row>
    <row r="38" spans="11:23" ht="13.5" thickBot="1">
      <c r="K38" s="47">
        <f>SP128!C167</f>
        <v>165</v>
      </c>
      <c r="L38" s="41" t="str">
        <f>SP128!D167</f>
        <v>Sieger 137</v>
      </c>
      <c r="M38" s="42">
        <f>SP128!F167</f>
        <v>0</v>
      </c>
      <c r="O38" s="47">
        <f>SP128!C76</f>
        <v>74</v>
      </c>
      <c r="P38" s="41" t="str">
        <f>SP128!D76</f>
        <v>Verlierer 19</v>
      </c>
      <c r="Q38" s="42">
        <f>SP128!F76</f>
        <v>0</v>
      </c>
      <c r="R38" s="46">
        <f>IF(SP128!L21="","",SP128!L21)</f>
      </c>
      <c r="S38" s="43" t="str">
        <f>SP128!E21</f>
        <v>Spieler 83</v>
      </c>
      <c r="T38" s="44">
        <f>SP128!G21</f>
        <v>0</v>
      </c>
      <c r="U38" s="47">
        <f>SP128!C108</f>
        <v>106</v>
      </c>
      <c r="V38" s="41" t="str">
        <f>SP128!D108</f>
        <v>Sieger 19</v>
      </c>
      <c r="W38" s="42">
        <f>SP128!F108</f>
        <v>0</v>
      </c>
    </row>
    <row r="39" spans="7:23" ht="13.5" thickBot="1">
      <c r="G39" s="47">
        <f>SP128!C213</f>
        <v>211</v>
      </c>
      <c r="H39" s="41" t="str">
        <f>SP128!D213</f>
        <v>Sieger 197</v>
      </c>
      <c r="I39" s="42">
        <f>SP128!F213</f>
        <v>0</v>
      </c>
      <c r="K39" s="46">
        <f>IF(SP128!L167="","",SP128!L167)</f>
      </c>
      <c r="L39" s="43" t="str">
        <f>SP128!E167</f>
        <v>Sieger 138</v>
      </c>
      <c r="M39" s="44">
        <f>SP128!G167</f>
        <v>0</v>
      </c>
      <c r="O39" s="46">
        <f>IF(SP128!L76="","",SP128!L76)</f>
      </c>
      <c r="P39" s="43" t="str">
        <f>SP128!E76</f>
        <v>Verlierer 20</v>
      </c>
      <c r="Q39" s="44">
        <f>SP128!G76</f>
        <v>0</v>
      </c>
      <c r="R39" s="47">
        <f>SP128!C22</f>
        <v>20</v>
      </c>
      <c r="S39" s="41" t="str">
        <f>SP128!D22</f>
        <v>Spieler 51</v>
      </c>
      <c r="T39" s="42">
        <f>SP128!F22</f>
        <v>0</v>
      </c>
      <c r="U39" s="46">
        <f>IF(SP128!L108="","",SP128!L108)</f>
      </c>
      <c r="V39" s="43" t="str">
        <f>SP128!E108</f>
        <v>Sieger 20</v>
      </c>
      <c r="W39" s="44">
        <f>SP128!G108</f>
        <v>0</v>
      </c>
    </row>
    <row r="40" spans="7:27" ht="13.5" thickBot="1">
      <c r="G40" s="46">
        <f>IF(SP128!L213="","",SP128!L213)</f>
      </c>
      <c r="H40" s="43" t="str">
        <f>SP128!E213</f>
        <v>Sieger 198</v>
      </c>
      <c r="I40" s="44">
        <f>SP128!G213</f>
        <v>0</v>
      </c>
      <c r="M40" s="47">
        <f>SP128!C140</f>
        <v>138</v>
      </c>
      <c r="N40" s="41" t="str">
        <f>SP128!D140</f>
        <v>Sieger 74</v>
      </c>
      <c r="O40" s="42">
        <f>SP128!F140</f>
        <v>0</v>
      </c>
      <c r="R40" s="46">
        <f>IF(SP128!L22="","",SP128!L22)</f>
      </c>
      <c r="S40" s="43" t="str">
        <f>SP128!E22</f>
        <v>Spieler 115</v>
      </c>
      <c r="T40" s="44">
        <f>SP128!G22</f>
        <v>0</v>
      </c>
      <c r="Y40" s="47">
        <f>SP128!C221</f>
        <v>219</v>
      </c>
      <c r="Z40" s="41" t="str">
        <f>SP128!D221</f>
        <v>Sieger 181</v>
      </c>
      <c r="AA40" s="42">
        <f>SP128!F221</f>
        <v>0</v>
      </c>
    </row>
    <row r="41" spans="5:27" ht="13.5" thickBot="1">
      <c r="E41" s="47">
        <f>SP128!C229</f>
        <v>227</v>
      </c>
      <c r="F41" s="41" t="str">
        <f>SP128!D229</f>
        <v>Sieger 211</v>
      </c>
      <c r="G41" s="42">
        <f>SP128!F229</f>
        <v>0</v>
      </c>
      <c r="M41" s="46">
        <f>IF(SP128!L140="","",SP128!L140)</f>
      </c>
      <c r="N41" s="43" t="str">
        <f>SP128!E140</f>
        <v>Verlierer 103</v>
      </c>
      <c r="O41" s="44">
        <f>SP128!G140</f>
        <v>0</v>
      </c>
      <c r="R41" s="45">
        <f>SP128!C23</f>
        <v>21</v>
      </c>
      <c r="S41" s="41" t="str">
        <f>SP128!D23</f>
        <v>Spieler 11</v>
      </c>
      <c r="T41" s="42">
        <f>SP128!F23</f>
        <v>0</v>
      </c>
      <c r="Y41" s="46">
        <f>IF(SP128!L221="","",SP128!L221)</f>
      </c>
      <c r="Z41" s="43" t="str">
        <f>SP128!E221</f>
        <v>Sieger 182</v>
      </c>
      <c r="AA41" s="44">
        <f>SP128!G221</f>
        <v>0</v>
      </c>
    </row>
    <row r="42" spans="5:23" ht="13.5" thickBot="1">
      <c r="E42" s="46">
        <f>IF(SP128!L229="","",SP128!L229)</f>
      </c>
      <c r="F42" s="43" t="str">
        <f>SP128!E229</f>
        <v>Verlierer 217</v>
      </c>
      <c r="G42" s="44">
        <f>SP128!G229</f>
        <v>0</v>
      </c>
      <c r="O42" s="47">
        <f>SP128!C77</f>
        <v>75</v>
      </c>
      <c r="P42" s="41" t="str">
        <f>SP128!D77</f>
        <v>Verlierer 21</v>
      </c>
      <c r="Q42" s="42">
        <f>SP128!F77</f>
        <v>0</v>
      </c>
      <c r="R42" s="46">
        <f>IF(SP128!L23="","",SP128!L23)</f>
      </c>
      <c r="S42" s="43" t="str">
        <f>SP128!E23</f>
        <v>Spieler 75</v>
      </c>
      <c r="T42" s="44">
        <f>SP128!G23</f>
        <v>0</v>
      </c>
      <c r="U42" s="45">
        <f>SP128!C109</f>
        <v>107</v>
      </c>
      <c r="V42" s="41" t="str">
        <f>SP128!D109</f>
        <v>Sieger 21</v>
      </c>
      <c r="W42" s="42">
        <f>SP128!F109</f>
        <v>0</v>
      </c>
    </row>
    <row r="43" spans="15:23" ht="13.5" thickBot="1">
      <c r="O43" s="46">
        <f>IF(SP128!L77="","",SP128!L77)</f>
      </c>
      <c r="P43" s="43" t="str">
        <f>SP128!E77</f>
        <v>Verlierer 22</v>
      </c>
      <c r="Q43" s="44">
        <f>SP128!G77</f>
        <v>0</v>
      </c>
      <c r="R43" s="47">
        <f>SP128!C24</f>
        <v>22</v>
      </c>
      <c r="S43" s="41" t="str">
        <f>SP128!D24</f>
        <v>Spieler 43</v>
      </c>
      <c r="T43" s="42">
        <f>SP128!F24</f>
        <v>0</v>
      </c>
      <c r="U43" s="46">
        <f>IF(SP128!L109="","",SP128!L109)</f>
      </c>
      <c r="V43" s="43" t="str">
        <f>SP128!E109</f>
        <v>Sieger 22</v>
      </c>
      <c r="W43" s="44">
        <f>SP128!G109</f>
        <v>0</v>
      </c>
    </row>
    <row r="44" spans="9:25" ht="13.5" thickBot="1">
      <c r="I44" s="47">
        <f>SP128!C200</f>
        <v>198</v>
      </c>
      <c r="J44" s="41" t="str">
        <f>SP128!D200</f>
        <v>Sieger 166</v>
      </c>
      <c r="K44" s="42">
        <f>SP128!F200</f>
        <v>0</v>
      </c>
      <c r="M44" s="47">
        <f>SP128!C141</f>
        <v>139</v>
      </c>
      <c r="N44" s="41" t="str">
        <f>SP128!D141</f>
        <v>Sieger 75</v>
      </c>
      <c r="O44" s="42">
        <f>SP128!F141</f>
        <v>0</v>
      </c>
      <c r="R44" s="46">
        <f>IF(SP128!L24="","",SP128!L24)</f>
      </c>
      <c r="S44" s="43" t="str">
        <f>SP128!E24</f>
        <v>Spieler 107</v>
      </c>
      <c r="T44" s="44">
        <f>SP128!G24</f>
        <v>0</v>
      </c>
      <c r="W44" s="45">
        <f>SP128!C184</f>
        <v>182</v>
      </c>
      <c r="X44" s="41" t="str">
        <f>SP128!D184</f>
        <v>Sieger 107</v>
      </c>
      <c r="Y44" s="42">
        <f>SP128!F184</f>
        <v>0</v>
      </c>
    </row>
    <row r="45" spans="9:25" ht="13.5" thickBot="1">
      <c r="I45" s="46">
        <f>IF(SP128!L200="","",SP128!L200)</f>
      </c>
      <c r="J45" s="43" t="str">
        <f>SP128!E200</f>
        <v>Verlierer 184</v>
      </c>
      <c r="K45" s="44">
        <f>SP128!G200</f>
        <v>0</v>
      </c>
      <c r="M45" s="46">
        <f>IF(SP128!L141="","",SP128!L141)</f>
      </c>
      <c r="N45" s="43" t="str">
        <f>SP128!E141</f>
        <v>Verlierer 102</v>
      </c>
      <c r="O45" s="44">
        <f>SP128!G141</f>
        <v>0</v>
      </c>
      <c r="R45" s="45">
        <f>SP128!C25</f>
        <v>23</v>
      </c>
      <c r="S45" s="41" t="str">
        <f>SP128!D25</f>
        <v>Spieler 27</v>
      </c>
      <c r="T45" s="42">
        <f>SP128!F25</f>
        <v>0</v>
      </c>
      <c r="W45" s="46">
        <f>IF(SP128!L184="","",SP128!L184)</f>
      </c>
      <c r="X45" s="43" t="str">
        <f>SP128!E184</f>
        <v>Sieger 108</v>
      </c>
      <c r="Y45" s="44">
        <f>SP128!G184</f>
        <v>0</v>
      </c>
    </row>
    <row r="46" spans="11:23" ht="13.5" thickBot="1">
      <c r="K46" s="45">
        <f>SP128!C168</f>
        <v>166</v>
      </c>
      <c r="L46" s="41" t="str">
        <f>SP128!D168</f>
        <v>Sieger 139</v>
      </c>
      <c r="M46" s="42">
        <f>SP128!F168</f>
        <v>0</v>
      </c>
      <c r="O46" s="47">
        <f>SP128!C78</f>
        <v>76</v>
      </c>
      <c r="P46" s="41" t="str">
        <f>SP128!D78</f>
        <v>Verlierer 23</v>
      </c>
      <c r="Q46" s="42">
        <f>SP128!F78</f>
        <v>0</v>
      </c>
      <c r="R46" s="46">
        <f>IF(SP128!L25="","",SP128!L25)</f>
      </c>
      <c r="S46" s="43" t="str">
        <f>SP128!E25</f>
        <v>Spieler 91</v>
      </c>
      <c r="T46" s="44">
        <f>SP128!G25</f>
        <v>0</v>
      </c>
      <c r="U46" s="47">
        <f>SP128!C110</f>
        <v>108</v>
      </c>
      <c r="V46" s="41" t="str">
        <f>SP128!D110</f>
        <v>Sieger 23</v>
      </c>
      <c r="W46" s="42">
        <f>SP128!F110</f>
        <v>0</v>
      </c>
    </row>
    <row r="47" spans="11:23" ht="13.5" thickBot="1">
      <c r="K47" s="46">
        <f>IF(SP128!L168="","",SP128!L168)</f>
      </c>
      <c r="L47" s="43" t="str">
        <f>SP128!E168</f>
        <v>Sieger 140</v>
      </c>
      <c r="M47" s="44">
        <f>SP128!G168</f>
        <v>0</v>
      </c>
      <c r="O47" s="46">
        <f>IF(SP128!L78="","",SP128!L78)</f>
      </c>
      <c r="P47" s="43" t="str">
        <f>SP128!E78</f>
        <v>Verlierer 24</v>
      </c>
      <c r="Q47" s="44">
        <f>SP128!G78</f>
        <v>0</v>
      </c>
      <c r="R47" s="47">
        <f>SP128!C26</f>
        <v>24</v>
      </c>
      <c r="S47" s="41" t="str">
        <f>SP128!D26</f>
        <v>Spieler 59</v>
      </c>
      <c r="T47" s="42">
        <f>SP128!F26</f>
        <v>0</v>
      </c>
      <c r="U47" s="46">
        <f>IF(SP128!L110="","",SP128!L110)</f>
      </c>
      <c r="V47" s="43" t="str">
        <f>SP128!E110</f>
        <v>Sieger 24</v>
      </c>
      <c r="W47" s="44">
        <f>SP128!G110</f>
        <v>0</v>
      </c>
    </row>
    <row r="48" spans="5:29" ht="13.5" thickBot="1">
      <c r="E48" s="45">
        <f>SP128!C236</f>
        <v>234</v>
      </c>
      <c r="F48" s="41" t="str">
        <f>SP128!D236</f>
        <v>Sieger 227</v>
      </c>
      <c r="G48" s="42">
        <f>SP128!F236</f>
        <v>0</v>
      </c>
      <c r="M48" s="45">
        <f>SP128!C142</f>
        <v>140</v>
      </c>
      <c r="N48" s="41" t="str">
        <f>SP128!D142</f>
        <v>Sieger 76</v>
      </c>
      <c r="O48" s="42">
        <f>SP128!F142</f>
        <v>0</v>
      </c>
      <c r="R48" s="46">
        <f>IF(SP128!L26="","",SP128!L26)</f>
      </c>
      <c r="S48" s="43" t="str">
        <f>SP128!E26</f>
        <v>Spieler 123</v>
      </c>
      <c r="T48" s="44">
        <f>SP128!G26</f>
        <v>0</v>
      </c>
      <c r="AA48" s="45">
        <f>SP128!C240</f>
        <v>238</v>
      </c>
      <c r="AB48" s="41" t="str">
        <f>SP128!D240</f>
        <v>Sieger 219</v>
      </c>
      <c r="AC48" s="42">
        <f>SP128!F240</f>
        <v>0</v>
      </c>
    </row>
    <row r="49" spans="5:29" ht="13.5" thickBot="1">
      <c r="E49" s="46">
        <f>IF(SP128!L236="","",SP128!L236)</f>
      </c>
      <c r="F49" s="43" t="str">
        <f>SP128!E236</f>
        <v>Sieger 228</v>
      </c>
      <c r="G49" s="44">
        <f>SP128!G236</f>
        <v>0</v>
      </c>
      <c r="M49" s="46">
        <f>IF(SP128!L142="","",SP128!L142)</f>
      </c>
      <c r="N49" s="43" t="str">
        <f>SP128!E142</f>
        <v>Verlierer 101</v>
      </c>
      <c r="O49" s="44">
        <f>SP128!G142</f>
        <v>0</v>
      </c>
      <c r="R49" s="45">
        <f>SP128!C27</f>
        <v>25</v>
      </c>
      <c r="S49" s="41" t="str">
        <f>SP128!D27</f>
        <v>Spieler 7</v>
      </c>
      <c r="T49" s="42">
        <f>SP128!F27</f>
        <v>0</v>
      </c>
      <c r="AA49" s="46">
        <f>IF(SP128!L240="","",SP128!L240)</f>
      </c>
      <c r="AB49" s="43" t="str">
        <f>SP128!E240</f>
        <v>Sieger 220</v>
      </c>
      <c r="AC49" s="44">
        <f>SP128!G240</f>
        <v>0</v>
      </c>
    </row>
    <row r="50" spans="3:23" ht="13.5" thickBot="1">
      <c r="C50" s="45">
        <f>SP128!C244</f>
        <v>242</v>
      </c>
      <c r="D50" s="41" t="str">
        <f>SP128!D244</f>
        <v>Sieger 234</v>
      </c>
      <c r="E50" s="42">
        <f>SP128!F244</f>
        <v>0</v>
      </c>
      <c r="O50" s="45">
        <f>SP128!C79</f>
        <v>77</v>
      </c>
      <c r="P50" s="41" t="str">
        <f>SP128!D79</f>
        <v>Verlierer 25</v>
      </c>
      <c r="Q50" s="42">
        <f>SP128!F79</f>
        <v>0</v>
      </c>
      <c r="R50" s="46">
        <f>IF(SP128!L27="","",SP128!L27)</f>
      </c>
      <c r="S50" s="43" t="str">
        <f>SP128!E27</f>
        <v>Spieler 71</v>
      </c>
      <c r="T50" s="44">
        <f>SP128!G27</f>
        <v>0</v>
      </c>
      <c r="U50" s="47">
        <f>SP128!C111</f>
        <v>109</v>
      </c>
      <c r="V50" s="41" t="str">
        <f>SP128!D111</f>
        <v>Sieger 25</v>
      </c>
      <c r="W50" s="42">
        <f>SP128!F111</f>
        <v>0</v>
      </c>
    </row>
    <row r="51" spans="3:23" ht="13.5" thickBot="1">
      <c r="C51" s="46">
        <f>IF(SP128!L244="","",SP128!L244)</f>
      </c>
      <c r="D51" s="43" t="str">
        <f>SP128!E244</f>
        <v>Verlierer 237</v>
      </c>
      <c r="E51" s="44">
        <f>SP128!G244</f>
        <v>0</v>
      </c>
      <c r="O51" s="46">
        <f>IF(SP128!L79="","",SP128!L79)</f>
      </c>
      <c r="P51" s="43" t="str">
        <f>SP128!E79</f>
        <v>Verlierer 26</v>
      </c>
      <c r="Q51" s="44">
        <f>SP128!G79</f>
        <v>0</v>
      </c>
      <c r="R51" s="47">
        <f>SP128!C28</f>
        <v>26</v>
      </c>
      <c r="S51" s="41" t="str">
        <f>SP128!D28</f>
        <v>Spieler 39</v>
      </c>
      <c r="T51" s="42">
        <f>SP128!F28</f>
        <v>0</v>
      </c>
      <c r="U51" s="46">
        <f>IF(SP128!L111="","",SP128!L111)</f>
      </c>
      <c r="V51" s="43" t="str">
        <f>SP128!E111</f>
        <v>Sieger 26</v>
      </c>
      <c r="W51" s="44">
        <f>SP128!G111</f>
        <v>0</v>
      </c>
    </row>
    <row r="52" spans="9:25" ht="13.5" thickBot="1">
      <c r="I52" s="47">
        <f>SP128!C201</f>
        <v>199</v>
      </c>
      <c r="J52" s="41" t="str">
        <f>SP128!D201</f>
        <v>Sieger 167</v>
      </c>
      <c r="K52" s="42">
        <f>SP128!F201</f>
        <v>0</v>
      </c>
      <c r="M52" s="47">
        <f>SP128!C143</f>
        <v>141</v>
      </c>
      <c r="N52" s="41" t="str">
        <f>SP128!D143</f>
        <v>Sieger 77</v>
      </c>
      <c r="O52" s="42">
        <f>SP128!F143</f>
        <v>0</v>
      </c>
      <c r="R52" s="46">
        <f>IF(SP128!L28="","",SP128!L28)</f>
      </c>
      <c r="S52" s="43" t="str">
        <f>SP128!E28</f>
        <v>Spieler 103</v>
      </c>
      <c r="T52" s="44">
        <f>SP128!G28</f>
        <v>0</v>
      </c>
      <c r="W52" s="47">
        <f>SP128!C185</f>
        <v>183</v>
      </c>
      <c r="X52" s="41" t="str">
        <f>SP128!D185</f>
        <v>Sieger 109</v>
      </c>
      <c r="Y52" s="42">
        <f>SP128!F185</f>
        <v>0</v>
      </c>
    </row>
    <row r="53" spans="9:25" ht="13.5" thickBot="1">
      <c r="I53" s="46">
        <f>IF(SP128!L201="","",SP128!L201)</f>
      </c>
      <c r="J53" s="43" t="str">
        <f>SP128!E201</f>
        <v>Verlierer 181</v>
      </c>
      <c r="K53" s="44">
        <f>SP128!G201</f>
        <v>0</v>
      </c>
      <c r="M53" s="46">
        <f>IF(SP128!L143="","",SP128!L143)</f>
      </c>
      <c r="N53" s="43" t="str">
        <f>SP128!E143</f>
        <v>Verlierer 100</v>
      </c>
      <c r="O53" s="44">
        <f>SP128!G143</f>
        <v>0</v>
      </c>
      <c r="R53" s="47">
        <f>SP128!C29</f>
        <v>27</v>
      </c>
      <c r="S53" s="41" t="str">
        <f>SP128!D29</f>
        <v>Spieler 23</v>
      </c>
      <c r="T53" s="42">
        <f>SP128!F29</f>
        <v>0</v>
      </c>
      <c r="W53" s="46">
        <f>IF(SP128!L185="","",SP128!L185)</f>
      </c>
      <c r="X53" s="43" t="str">
        <f>SP128!E185</f>
        <v>Sieger 110</v>
      </c>
      <c r="Y53" s="44">
        <f>SP128!G185</f>
        <v>0</v>
      </c>
    </row>
    <row r="54" spans="11:23" ht="13.5" thickBot="1">
      <c r="K54" s="47">
        <f>SP128!C169</f>
        <v>167</v>
      </c>
      <c r="L54" s="41" t="str">
        <f>SP128!D169</f>
        <v>Sieger 141</v>
      </c>
      <c r="M54" s="42">
        <f>SP128!F169</f>
        <v>0</v>
      </c>
      <c r="O54" s="47">
        <f>SP128!C80</f>
        <v>78</v>
      </c>
      <c r="P54" s="41" t="str">
        <f>SP128!D80</f>
        <v>Verlierer 27</v>
      </c>
      <c r="Q54" s="42">
        <f>SP128!F80</f>
        <v>0</v>
      </c>
      <c r="R54" s="46">
        <f>IF(SP128!L29="","",SP128!L29)</f>
      </c>
      <c r="S54" s="43" t="str">
        <f>SP128!E29</f>
        <v>Spieler 87</v>
      </c>
      <c r="T54" s="44">
        <f>SP128!G29</f>
        <v>0</v>
      </c>
      <c r="U54" s="47">
        <f>SP128!C112</f>
        <v>110</v>
      </c>
      <c r="V54" s="41" t="str">
        <f>SP128!D112</f>
        <v>Sieger 27</v>
      </c>
      <c r="W54" s="42">
        <f>SP128!F112</f>
        <v>0</v>
      </c>
    </row>
    <row r="55" spans="7:23" ht="13.5" thickBot="1">
      <c r="G55" s="47">
        <f>SP128!C214</f>
        <v>212</v>
      </c>
      <c r="H55" s="41" t="str">
        <f>SP128!D214</f>
        <v>Sieger 199</v>
      </c>
      <c r="I55" s="42">
        <f>SP128!F214</f>
        <v>0</v>
      </c>
      <c r="K55" s="46">
        <f>IF(SP128!L169="","",SP128!L169)</f>
      </c>
      <c r="L55" s="43" t="str">
        <f>SP128!E169</f>
        <v>Sieger 142</v>
      </c>
      <c r="M55" s="44">
        <f>SP128!G169</f>
        <v>0</v>
      </c>
      <c r="O55" s="46">
        <f>IF(SP128!L80="","",SP128!L80)</f>
      </c>
      <c r="P55" s="43" t="str">
        <f>SP128!E80</f>
        <v>Verlierer 28</v>
      </c>
      <c r="Q55" s="44">
        <f>SP128!G80</f>
        <v>0</v>
      </c>
      <c r="R55" s="47">
        <f>SP128!C30</f>
        <v>28</v>
      </c>
      <c r="S55" s="41" t="str">
        <f>SP128!D30</f>
        <v>Spieler 55</v>
      </c>
      <c r="T55" s="42">
        <f>SP128!F30</f>
        <v>0</v>
      </c>
      <c r="U55" s="46">
        <f>IF(SP128!L112="","",SP128!L112)</f>
      </c>
      <c r="V55" s="43" t="str">
        <f>SP128!E112</f>
        <v>Sieger 28</v>
      </c>
      <c r="W55" s="44">
        <f>SP128!G112</f>
        <v>0</v>
      </c>
    </row>
    <row r="56" spans="7:27" ht="13.5" thickBot="1">
      <c r="G56" s="46">
        <f>IF(SP128!L214="","",SP128!L214)</f>
      </c>
      <c r="H56" s="43" t="str">
        <f>SP128!E214</f>
        <v>Sieger 200</v>
      </c>
      <c r="I56" s="44">
        <f>SP128!G214</f>
        <v>0</v>
      </c>
      <c r="M56" s="45">
        <f>SP128!C144</f>
        <v>142</v>
      </c>
      <c r="N56" s="41" t="str">
        <f>SP128!D144</f>
        <v>Sieger 78</v>
      </c>
      <c r="O56" s="42">
        <f>SP128!F144</f>
        <v>0</v>
      </c>
      <c r="R56" s="46">
        <f>IF(SP128!L30="","",SP128!L30)</f>
      </c>
      <c r="S56" s="43" t="str">
        <f>SP128!E30</f>
        <v>Spieler 119</v>
      </c>
      <c r="T56" s="44">
        <f>SP128!G30</f>
        <v>0</v>
      </c>
      <c r="Y56" s="47">
        <f>SP128!C222</f>
        <v>220</v>
      </c>
      <c r="Z56" s="41" t="str">
        <f>SP128!D222</f>
        <v>Sieger 183</v>
      </c>
      <c r="AA56" s="42">
        <f>SP128!F222</f>
        <v>0</v>
      </c>
    </row>
    <row r="57" spans="5:27" ht="13.5" thickBot="1">
      <c r="E57" s="47">
        <f>SP128!C230</f>
        <v>228</v>
      </c>
      <c r="F57" s="41" t="str">
        <f>SP128!D230</f>
        <v>Sieger 212</v>
      </c>
      <c r="G57" s="42">
        <f>SP128!F230</f>
        <v>0</v>
      </c>
      <c r="M57" s="46">
        <f>IF(SP128!L144="","",SP128!L144)</f>
      </c>
      <c r="N57" s="43" t="str">
        <f>SP128!E144</f>
        <v>Verlierer 99</v>
      </c>
      <c r="O57" s="44">
        <f>SP128!G144</f>
        <v>0</v>
      </c>
      <c r="R57" s="45">
        <f>SP128!C31</f>
        <v>29</v>
      </c>
      <c r="S57" s="41" t="str">
        <f>SP128!D31</f>
        <v>Spieler 15</v>
      </c>
      <c r="T57" s="42">
        <f>SP128!F31</f>
        <v>0</v>
      </c>
      <c r="Y57" s="46">
        <f>IF(SP128!L222="","",SP128!L222)</f>
      </c>
      <c r="Z57" s="43" t="str">
        <f>SP128!E222</f>
        <v>Sieger 184</v>
      </c>
      <c r="AA57" s="44">
        <f>SP128!G222</f>
        <v>0</v>
      </c>
    </row>
    <row r="58" spans="5:23" ht="13.5" thickBot="1">
      <c r="E58" s="46">
        <f>IF(SP128!L230="","",SP128!L230)</f>
      </c>
      <c r="F58" s="43" t="str">
        <f>SP128!E230</f>
        <v>Verlierer 218</v>
      </c>
      <c r="G58" s="44">
        <f>SP128!G230</f>
        <v>0</v>
      </c>
      <c r="O58" s="47">
        <f>SP128!C81</f>
        <v>79</v>
      </c>
      <c r="P58" s="41" t="str">
        <f>SP128!D81</f>
        <v>Verlierer 29</v>
      </c>
      <c r="Q58" s="42">
        <f>SP128!F81</f>
        <v>0</v>
      </c>
      <c r="R58" s="46">
        <f>IF(SP128!L31="","",SP128!L31)</f>
      </c>
      <c r="S58" s="43" t="str">
        <f>SP128!E31</f>
        <v>Spieler 79</v>
      </c>
      <c r="T58" s="44">
        <f>SP128!G31</f>
        <v>0</v>
      </c>
      <c r="U58" s="45">
        <f>SP128!C113</f>
        <v>111</v>
      </c>
      <c r="V58" s="41" t="str">
        <f>SP128!D113</f>
        <v>Sieger 29</v>
      </c>
      <c r="W58" s="42">
        <f>SP128!F113</f>
        <v>0</v>
      </c>
    </row>
    <row r="59" spans="15:31" ht="13.5" thickBot="1">
      <c r="O59" s="46">
        <f>IF(SP128!L81="","",SP128!L81)</f>
      </c>
      <c r="P59" s="43" t="str">
        <f>SP128!E81</f>
        <v>Verlierer 30</v>
      </c>
      <c r="Q59" s="44">
        <f>SP128!G81</f>
        <v>0</v>
      </c>
      <c r="R59" s="47">
        <f>SP128!C32</f>
        <v>30</v>
      </c>
      <c r="S59" s="41" t="str">
        <f>SP128!D32</f>
        <v>Spieler 47</v>
      </c>
      <c r="T59" s="42">
        <f>SP128!F32</f>
        <v>0</v>
      </c>
      <c r="U59" s="46">
        <f>IF(SP128!L113="","",SP128!L113)</f>
      </c>
      <c r="V59" s="43" t="str">
        <f>SP128!E113</f>
        <v>Sieger 30</v>
      </c>
      <c r="W59" s="44">
        <f>SP128!G113</f>
        <v>0</v>
      </c>
      <c r="AC59" s="47">
        <f>SP128!C254</f>
        <v>252</v>
      </c>
      <c r="AD59" s="41" t="str">
        <f>SP128!D254</f>
        <v>Sieger 247</v>
      </c>
      <c r="AE59" s="42">
        <f>SP128!F254</f>
        <v>0</v>
      </c>
    </row>
    <row r="60" spans="9:31" ht="13.5" thickBot="1">
      <c r="I60" s="45">
        <f>SP128!C202</f>
        <v>200</v>
      </c>
      <c r="J60" s="41" t="str">
        <f>SP128!D202</f>
        <v>Sieger 168</v>
      </c>
      <c r="K60" s="42">
        <f>SP128!F202</f>
        <v>0</v>
      </c>
      <c r="M60" s="47">
        <f>SP128!C145</f>
        <v>143</v>
      </c>
      <c r="N60" s="41" t="str">
        <f>SP128!D145</f>
        <v>Sieger 79</v>
      </c>
      <c r="O60" s="42">
        <f>SP128!F145</f>
        <v>0</v>
      </c>
      <c r="R60" s="46">
        <f>IF(SP128!L32="","",SP128!L32)</f>
      </c>
      <c r="S60" s="43" t="str">
        <f>SP128!E32</f>
        <v>Spieler 111</v>
      </c>
      <c r="T60" s="44">
        <f>SP128!G32</f>
        <v>0</v>
      </c>
      <c r="W60" s="45">
        <f>SP128!C186</f>
        <v>184</v>
      </c>
      <c r="X60" s="41" t="str">
        <f>SP128!D186</f>
        <v>Sieger 111</v>
      </c>
      <c r="Y60" s="42">
        <f>SP128!F186</f>
        <v>0</v>
      </c>
      <c r="AC60" s="46">
        <f>IF(SP128!L254="","",SP128!L254)</f>
      </c>
      <c r="AD60" s="43" t="str">
        <f>SP128!E254</f>
        <v>Sieger 248</v>
      </c>
      <c r="AE60" s="44">
        <f>SP128!G254</f>
        <v>0</v>
      </c>
    </row>
    <row r="61" spans="9:25" ht="13.5" thickBot="1">
      <c r="I61" s="46">
        <f>IF(SP128!L202="","",SP128!L202)</f>
      </c>
      <c r="J61" s="43" t="str">
        <f>SP128!E202</f>
        <v>Verlierer 182</v>
      </c>
      <c r="K61" s="44">
        <f>SP128!G202</f>
        <v>0</v>
      </c>
      <c r="M61" s="46">
        <f>IF(SP128!L145="","",SP128!L145)</f>
      </c>
      <c r="N61" s="43" t="str">
        <f>SP128!E145</f>
        <v>Verlierer 98</v>
      </c>
      <c r="O61" s="44">
        <f>SP128!G145</f>
        <v>0</v>
      </c>
      <c r="R61" s="45">
        <f>SP128!C33</f>
        <v>31</v>
      </c>
      <c r="S61" s="41" t="str">
        <f>SP128!D33</f>
        <v>Spieler 31</v>
      </c>
      <c r="T61" s="42">
        <f>SP128!F33</f>
        <v>0</v>
      </c>
      <c r="W61" s="46">
        <f>IF(SP128!L186="","",SP128!L186)</f>
      </c>
      <c r="X61" s="43" t="str">
        <f>SP128!E186</f>
        <v>Sieger 112</v>
      </c>
      <c r="Y61" s="44">
        <f>SP128!G186</f>
        <v>0</v>
      </c>
    </row>
    <row r="62" spans="1:23" ht="13.5" thickBot="1">
      <c r="A62" s="47">
        <f>SP128!C253</f>
        <v>251</v>
      </c>
      <c r="B62" s="41" t="str">
        <f>SP128!D253</f>
        <v>Sieger 249</v>
      </c>
      <c r="C62" s="42">
        <f>SP128!F253</f>
        <v>0</v>
      </c>
      <c r="K62" s="45">
        <f>SP128!C170</f>
        <v>168</v>
      </c>
      <c r="L62" s="41" t="str">
        <f>SP128!D170</f>
        <v>Sieger 143</v>
      </c>
      <c r="M62" s="42">
        <f>SP128!F170</f>
        <v>0</v>
      </c>
      <c r="O62" s="47">
        <f>SP128!C82</f>
        <v>80</v>
      </c>
      <c r="P62" s="41" t="str">
        <f>SP128!D82</f>
        <v>Verlierer 31</v>
      </c>
      <c r="Q62" s="42">
        <f>SP128!F82</f>
        <v>0</v>
      </c>
      <c r="R62" s="46">
        <f>IF(SP128!L33="","",SP128!L33)</f>
      </c>
      <c r="S62" s="43" t="str">
        <f>SP128!E33</f>
        <v>Spieler 95</v>
      </c>
      <c r="T62" s="44">
        <f>SP128!G33</f>
        <v>0</v>
      </c>
      <c r="U62" s="47">
        <f>SP128!C114</f>
        <v>112</v>
      </c>
      <c r="V62" s="41" t="str">
        <f>SP128!D114</f>
        <v>Sieger 31</v>
      </c>
      <c r="W62" s="42">
        <f>SP128!F114</f>
        <v>0</v>
      </c>
    </row>
    <row r="63" spans="1:23" ht="13.5" thickBot="1">
      <c r="A63" s="46">
        <f>IF(SP128!L253="","",SP128!L253)</f>
      </c>
      <c r="B63" s="43" t="str">
        <f>SP128!E253</f>
        <v>Sieger 250</v>
      </c>
      <c r="C63" s="44">
        <f>SP128!G253</f>
        <v>0</v>
      </c>
      <c r="K63" s="46">
        <f>IF(SP128!L170="","",SP128!L170)</f>
      </c>
      <c r="L63" s="43" t="str">
        <f>SP128!E170</f>
        <v>Sieger 144</v>
      </c>
      <c r="M63" s="44">
        <f>SP128!G170</f>
        <v>0</v>
      </c>
      <c r="O63" s="46">
        <f>IF(SP128!L82="","",SP128!L82)</f>
      </c>
      <c r="P63" s="43" t="str">
        <f>SP128!E82</f>
        <v>Verlierer 32</v>
      </c>
      <c r="Q63" s="44">
        <f>SP128!G82</f>
        <v>0</v>
      </c>
      <c r="R63" s="47">
        <f>SP128!C34</f>
        <v>32</v>
      </c>
      <c r="S63" s="41" t="str">
        <f>SP128!D34</f>
        <v>Spieler 63</v>
      </c>
      <c r="T63" s="42">
        <f>SP128!F34</f>
        <v>0</v>
      </c>
      <c r="U63" s="46">
        <f>IF(SP128!L114="","",SP128!L114)</f>
      </c>
      <c r="V63" s="43" t="str">
        <f>SP128!E114</f>
        <v>Sieger 32</v>
      </c>
      <c r="W63" s="44">
        <f>SP128!G114</f>
        <v>0</v>
      </c>
    </row>
    <row r="64" spans="13:20" ht="13.5" thickBot="1">
      <c r="M64" s="45">
        <f>SP128!C146</f>
        <v>144</v>
      </c>
      <c r="N64" s="41" t="str">
        <f>SP128!D146</f>
        <v>Sieger 80</v>
      </c>
      <c r="O64" s="42">
        <f>SP128!F146</f>
        <v>0</v>
      </c>
      <c r="R64" s="46">
        <f>IF(SP128!L34="","",SP128!L34)</f>
      </c>
      <c r="S64" s="43" t="str">
        <f>SP128!E34</f>
        <v>Spieler 127</v>
      </c>
      <c r="T64" s="44">
        <f>SP128!G34</f>
        <v>0</v>
      </c>
    </row>
    <row r="65" spans="13:20" ht="13.5" thickBot="1">
      <c r="M65" s="46">
        <f>IF(SP128!L146="","",SP128!L146)</f>
      </c>
      <c r="N65" s="43" t="str">
        <f>SP128!E146</f>
        <v>Verlierer 97</v>
      </c>
      <c r="O65" s="44">
        <f>SP128!G146</f>
        <v>0</v>
      </c>
      <c r="R65" s="45">
        <f>SP128!C35</f>
        <v>33</v>
      </c>
      <c r="S65" s="41" t="str">
        <f>SP128!D35</f>
        <v>Spieler 2</v>
      </c>
      <c r="T65" s="42">
        <f>SP128!F35</f>
        <v>0</v>
      </c>
    </row>
    <row r="66" spans="15:23" ht="13.5" thickBot="1">
      <c r="O66" s="45">
        <f>SP128!C83</f>
        <v>81</v>
      </c>
      <c r="P66" s="41" t="str">
        <f>SP128!D83</f>
        <v>Verlierer 33</v>
      </c>
      <c r="Q66" s="42">
        <f>SP128!F83</f>
        <v>0</v>
      </c>
      <c r="R66" s="46">
        <f>IF(SP128!L35="","",SP128!L35)</f>
      </c>
      <c r="S66" s="43" t="str">
        <f>SP128!E35</f>
        <v>Spieler 66</v>
      </c>
      <c r="T66" s="44">
        <f>SP128!G35</f>
        <v>0</v>
      </c>
      <c r="U66" s="45">
        <f>SP128!C115</f>
        <v>113</v>
      </c>
      <c r="V66" s="41" t="str">
        <f>SP128!D115</f>
        <v>Sieger 33</v>
      </c>
      <c r="W66" s="42">
        <f>SP128!F115</f>
        <v>0</v>
      </c>
    </row>
    <row r="67" spans="15:31" ht="13.5" thickBot="1">
      <c r="O67" s="46">
        <f>IF(SP128!L83="","",SP128!L83)</f>
      </c>
      <c r="P67" s="43" t="str">
        <f>SP128!E83</f>
        <v>Verlierer 34</v>
      </c>
      <c r="Q67" s="44">
        <f>SP128!G83</f>
        <v>0</v>
      </c>
      <c r="R67" s="47">
        <f>SP128!C36</f>
        <v>34</v>
      </c>
      <c r="S67" s="41" t="str">
        <f>SP128!D36</f>
        <v>Spieler 34</v>
      </c>
      <c r="T67" s="42">
        <f>SP128!F36</f>
        <v>0</v>
      </c>
      <c r="U67" s="46">
        <f>IF(SP128!L115="","",SP128!L115)</f>
      </c>
      <c r="V67" s="43" t="str">
        <f>SP128!E115</f>
        <v>Sieger 34</v>
      </c>
      <c r="W67" s="44">
        <f>SP128!G115</f>
        <v>0</v>
      </c>
      <c r="AC67" s="45">
        <f>SP128!C256</f>
        <v>254</v>
      </c>
      <c r="AD67" s="41" t="str">
        <f>SP128!D256</f>
        <v>Sieger 252</v>
      </c>
      <c r="AE67" s="42">
        <f>SP128!F256</f>
        <v>0</v>
      </c>
    </row>
    <row r="68" spans="9:31" ht="13.5" thickBot="1">
      <c r="I68" s="47">
        <f>SP128!C203</f>
        <v>201</v>
      </c>
      <c r="J68" s="41" t="str">
        <f>SP128!D203</f>
        <v>Sieger 169</v>
      </c>
      <c r="K68" s="42">
        <f>SP128!F203</f>
        <v>0</v>
      </c>
      <c r="M68" s="47">
        <f>SP128!C147</f>
        <v>145</v>
      </c>
      <c r="N68" s="41" t="str">
        <f>SP128!D147</f>
        <v>Sieger 81</v>
      </c>
      <c r="O68" s="42">
        <f>SP128!F147</f>
        <v>0</v>
      </c>
      <c r="R68" s="46">
        <f>IF(SP128!L36="","",SP128!L36)</f>
      </c>
      <c r="S68" s="43" t="str">
        <f>SP128!E36</f>
        <v>Spieler 98</v>
      </c>
      <c r="T68" s="44">
        <f>SP128!G36</f>
        <v>0</v>
      </c>
      <c r="W68" s="47">
        <f>SP128!C187</f>
        <v>185</v>
      </c>
      <c r="X68" s="41" t="str">
        <f>SP128!D187</f>
        <v>Sieger 113</v>
      </c>
      <c r="Y68" s="42">
        <f>SP128!F187</f>
        <v>0</v>
      </c>
      <c r="AC68" s="46">
        <f>IF(SP128!L256="","",SP128!L256)</f>
      </c>
      <c r="AD68" s="43" t="str">
        <f>SP128!E256</f>
        <v>Sieger 253</v>
      </c>
      <c r="AE68" s="44">
        <f>SP128!G256</f>
        <v>0</v>
      </c>
    </row>
    <row r="69" spans="9:31" ht="13.5" thickBot="1">
      <c r="I69" s="46">
        <f>IF(SP128!L203="","",SP128!L203)</f>
      </c>
      <c r="J69" s="43" t="str">
        <f>SP128!E203</f>
        <v>Verlierer 187</v>
      </c>
      <c r="K69" s="44">
        <f>SP128!G203</f>
        <v>0</v>
      </c>
      <c r="M69" s="46">
        <f>IF(SP128!L147="","",SP128!L147)</f>
      </c>
      <c r="N69" s="43" t="str">
        <f>SP128!E147</f>
        <v>Verlierer 128</v>
      </c>
      <c r="O69" s="44">
        <f>SP128!G147</f>
        <v>0</v>
      </c>
      <c r="R69" s="47">
        <f>SP128!C37</f>
        <v>35</v>
      </c>
      <c r="S69" s="41" t="str">
        <f>SP128!D37</f>
        <v>Spieler 18</v>
      </c>
      <c r="T69" s="42">
        <f>SP128!F37</f>
        <v>0</v>
      </c>
      <c r="W69" s="46">
        <f>IF(SP128!L187="","",SP128!L187)</f>
      </c>
      <c r="X69" s="43" t="str">
        <f>SP128!E187</f>
        <v>Sieger 114</v>
      </c>
      <c r="Y69" s="44">
        <f>SP128!G187</f>
        <v>0</v>
      </c>
      <c r="AC69" s="47">
        <f>SP128!C257</f>
        <v>255</v>
      </c>
      <c r="AD69" s="41" t="str">
        <f>SP128!D257</f>
        <v>Sieger 254</v>
      </c>
      <c r="AE69" s="42">
        <f>SP128!F257</f>
        <v>0</v>
      </c>
    </row>
    <row r="70" spans="11:31" ht="13.5" thickBot="1">
      <c r="K70" s="47">
        <f>SP128!C171</f>
        <v>169</v>
      </c>
      <c r="L70" s="41" t="str">
        <f>SP128!D171</f>
        <v>Sieger 145</v>
      </c>
      <c r="M70" s="42">
        <f>SP128!F171</f>
        <v>0</v>
      </c>
      <c r="O70" s="47">
        <f>SP128!C84</f>
        <v>82</v>
      </c>
      <c r="P70" s="41" t="str">
        <f>SP128!D84</f>
        <v>Verlierer 35</v>
      </c>
      <c r="Q70" s="42">
        <f>SP128!F84</f>
        <v>0</v>
      </c>
      <c r="R70" s="46">
        <f>IF(SP128!L37="","",SP128!L37)</f>
      </c>
      <c r="S70" s="43" t="str">
        <f>SP128!E37</f>
        <v>Spieler 82</v>
      </c>
      <c r="T70" s="44">
        <f>SP128!G37</f>
        <v>0</v>
      </c>
      <c r="U70" s="47">
        <f>SP128!C116</f>
        <v>114</v>
      </c>
      <c r="V70" s="41" t="str">
        <f>SP128!D116</f>
        <v>Sieger 35</v>
      </c>
      <c r="W70" s="42">
        <f>SP128!F116</f>
        <v>0</v>
      </c>
      <c r="AC70" s="46">
        <f>IF(SP128!L257="","",SP128!L257)</f>
      </c>
      <c r="AD70" s="43" t="str">
        <f>SP128!E257</f>
        <v>Verlierer 254</v>
      </c>
      <c r="AE70" s="44">
        <f>SP128!G257</f>
        <v>0</v>
      </c>
    </row>
    <row r="71" spans="7:23" ht="13.5" thickBot="1">
      <c r="G71" s="47">
        <f>SP128!C215</f>
        <v>213</v>
      </c>
      <c r="H71" s="41" t="str">
        <f>SP128!D215</f>
        <v>Sieger 201</v>
      </c>
      <c r="I71" s="42">
        <f>SP128!F215</f>
        <v>0</v>
      </c>
      <c r="K71" s="46">
        <f>IF(SP128!L171="","",SP128!L171)</f>
      </c>
      <c r="L71" s="43" t="str">
        <f>SP128!E171</f>
        <v>Sieger 146</v>
      </c>
      <c r="M71" s="44">
        <f>SP128!G171</f>
        <v>0</v>
      </c>
      <c r="O71" s="46">
        <f>IF(SP128!L84="","",SP128!L84)</f>
      </c>
      <c r="P71" s="43" t="str">
        <f>SP128!E84</f>
        <v>Verlierer 36</v>
      </c>
      <c r="Q71" s="44">
        <f>SP128!G84</f>
        <v>0</v>
      </c>
      <c r="R71" s="47">
        <f>SP128!C38</f>
        <v>36</v>
      </c>
      <c r="S71" s="41" t="str">
        <f>SP128!D38</f>
        <v>Spieler 50</v>
      </c>
      <c r="T71" s="42">
        <f>SP128!F38</f>
        <v>0</v>
      </c>
      <c r="U71" s="46">
        <f>IF(SP128!L116="","",SP128!L116)</f>
      </c>
      <c r="V71" s="43" t="str">
        <f>SP128!E116</f>
        <v>Sieger 36</v>
      </c>
      <c r="W71" s="44">
        <f>SP128!G116</f>
        <v>0</v>
      </c>
    </row>
    <row r="72" spans="1:27" ht="13.5" thickBot="1">
      <c r="A72" s="47">
        <f>SP128!C255</f>
        <v>253</v>
      </c>
      <c r="B72" s="41" t="str">
        <f>SP128!D255</f>
        <v>Sieger 251</v>
      </c>
      <c r="C72" s="42">
        <f>SP128!F255</f>
        <v>0</v>
      </c>
      <c r="G72" s="46">
        <f>IF(SP128!L215="","",SP128!L215)</f>
      </c>
      <c r="H72" s="43" t="str">
        <f>SP128!E215</f>
        <v>Sieger 202</v>
      </c>
      <c r="I72" s="44">
        <f>SP128!G215</f>
        <v>0</v>
      </c>
      <c r="M72" s="47">
        <f>SP128!C148</f>
        <v>146</v>
      </c>
      <c r="N72" s="41" t="str">
        <f>SP128!D148</f>
        <v>Sieger 82</v>
      </c>
      <c r="O72" s="42">
        <f>SP128!F148</f>
        <v>0</v>
      </c>
      <c r="R72" s="46">
        <f>IF(SP128!L38="","",SP128!L38)</f>
      </c>
      <c r="S72" s="43" t="str">
        <f>SP128!E38</f>
        <v>Spieler 114</v>
      </c>
      <c r="T72" s="44">
        <f>SP128!G38</f>
        <v>0</v>
      </c>
      <c r="Y72" s="47">
        <f>SP128!C223</f>
        <v>221</v>
      </c>
      <c r="Z72" s="41" t="str">
        <f>SP128!D223</f>
        <v>Sieger 185</v>
      </c>
      <c r="AA72" s="42">
        <f>SP128!F223</f>
        <v>0</v>
      </c>
    </row>
    <row r="73" spans="1:27" ht="13.5" thickBot="1">
      <c r="A73" s="46">
        <f>IF(SP128!L255="","",SP128!L255)</f>
      </c>
      <c r="B73" s="43" t="str">
        <f>SP128!E255</f>
        <v>Verlierer 252</v>
      </c>
      <c r="C73" s="44">
        <f>SP128!G255</f>
        <v>0</v>
      </c>
      <c r="E73" s="47">
        <f>SP128!C231</f>
        <v>229</v>
      </c>
      <c r="F73" s="41" t="str">
        <f>SP128!D231</f>
        <v>Sieger 213</v>
      </c>
      <c r="G73" s="42">
        <f>SP128!F231</f>
        <v>0</v>
      </c>
      <c r="M73" s="46">
        <f>IF(SP128!L148="","",SP128!L148)</f>
      </c>
      <c r="N73" s="43" t="str">
        <f>SP128!E148</f>
        <v>Verlierer 127</v>
      </c>
      <c r="O73" s="44">
        <f>SP128!G148</f>
        <v>0</v>
      </c>
      <c r="R73" s="45">
        <f>SP128!C39</f>
        <v>37</v>
      </c>
      <c r="S73" s="41" t="str">
        <f>SP128!D39</f>
        <v>Spieler 10</v>
      </c>
      <c r="T73" s="42">
        <f>SP128!F39</f>
        <v>0</v>
      </c>
      <c r="Y73" s="46">
        <f>IF(SP128!L223="","",SP128!L223)</f>
      </c>
      <c r="Z73" s="43" t="str">
        <f>SP128!E223</f>
        <v>Sieger 186</v>
      </c>
      <c r="AA73" s="44">
        <f>SP128!G223</f>
        <v>0</v>
      </c>
    </row>
    <row r="74" spans="5:23" ht="13.5" thickBot="1">
      <c r="E74" s="46">
        <f>IF(SP128!L231="","",SP128!L231)</f>
      </c>
      <c r="F74" s="43" t="str">
        <f>SP128!E231</f>
        <v>Verlierer 223</v>
      </c>
      <c r="G74" s="44">
        <f>SP128!G231</f>
        <v>0</v>
      </c>
      <c r="O74" s="45">
        <f>SP128!C85</f>
        <v>83</v>
      </c>
      <c r="P74" s="41" t="str">
        <f>SP128!D85</f>
        <v>Verlierer 37</v>
      </c>
      <c r="Q74" s="42">
        <f>SP128!F85</f>
        <v>0</v>
      </c>
      <c r="R74" s="46">
        <f>IF(SP128!L39="","",SP128!L39)</f>
      </c>
      <c r="S74" s="43" t="str">
        <f>SP128!E39</f>
        <v>Spieler 74</v>
      </c>
      <c r="T74" s="44">
        <f>SP128!G39</f>
        <v>0</v>
      </c>
      <c r="U74" s="45">
        <f>SP128!C117</f>
        <v>115</v>
      </c>
      <c r="V74" s="41" t="str">
        <f>SP128!D117</f>
        <v>Sieger 37</v>
      </c>
      <c r="W74" s="42">
        <f>SP128!F117</f>
        <v>0</v>
      </c>
    </row>
    <row r="75" spans="15:23" ht="13.5" thickBot="1">
      <c r="O75" s="46">
        <f>IF(SP128!L85="","",SP128!L85)</f>
      </c>
      <c r="P75" s="43" t="str">
        <f>SP128!E85</f>
        <v>Verlierer 38</v>
      </c>
      <c r="Q75" s="44">
        <f>SP128!G85</f>
        <v>0</v>
      </c>
      <c r="R75" s="47">
        <f>SP128!C40</f>
        <v>38</v>
      </c>
      <c r="S75" s="41" t="str">
        <f>SP128!D40</f>
        <v>Spieler 42</v>
      </c>
      <c r="T75" s="42">
        <f>SP128!F40</f>
        <v>0</v>
      </c>
      <c r="U75" s="46">
        <f>IF(SP128!L117="","",SP128!L117)</f>
      </c>
      <c r="V75" s="43" t="str">
        <f>SP128!E117</f>
        <v>Sieger 38</v>
      </c>
      <c r="W75" s="44">
        <f>SP128!G117</f>
        <v>0</v>
      </c>
    </row>
    <row r="76" spans="9:25" ht="13.5" thickBot="1">
      <c r="I76" s="45">
        <f>SP128!C204</f>
        <v>202</v>
      </c>
      <c r="J76" s="41" t="str">
        <f>SP128!D204</f>
        <v>Sieger 170</v>
      </c>
      <c r="K76" s="42">
        <f>SP128!F204</f>
        <v>0</v>
      </c>
      <c r="M76" s="47">
        <f>SP128!C149</f>
        <v>147</v>
      </c>
      <c r="N76" s="41" t="str">
        <f>SP128!D149</f>
        <v>Sieger 83</v>
      </c>
      <c r="O76" s="42">
        <f>SP128!F149</f>
        <v>0</v>
      </c>
      <c r="R76" s="46">
        <f>IF(SP128!L40="","",SP128!L40)</f>
      </c>
      <c r="S76" s="43" t="str">
        <f>SP128!E40</f>
        <v>Spieler 106</v>
      </c>
      <c r="T76" s="44">
        <f>SP128!G40</f>
        <v>0</v>
      </c>
      <c r="W76" s="47">
        <f>SP128!C188</f>
        <v>186</v>
      </c>
      <c r="X76" s="41" t="str">
        <f>SP128!D188</f>
        <v>Sieger 115</v>
      </c>
      <c r="Y76" s="42">
        <f>SP128!F188</f>
        <v>0</v>
      </c>
    </row>
    <row r="77" spans="9:25" ht="13.5" thickBot="1">
      <c r="I77" s="46">
        <f>IF(SP128!L204="","",SP128!L204)</f>
      </c>
      <c r="J77" s="43" t="str">
        <f>SP128!E204</f>
        <v>Verlierer 188</v>
      </c>
      <c r="K77" s="44">
        <f>SP128!G204</f>
        <v>0</v>
      </c>
      <c r="M77" s="46">
        <f>IF(SP128!L149="","",SP128!L149)</f>
      </c>
      <c r="N77" s="43" t="str">
        <f>SP128!E149</f>
        <v>Verlierer 126</v>
      </c>
      <c r="O77" s="44">
        <f>SP128!G149</f>
        <v>0</v>
      </c>
      <c r="R77" s="45">
        <f>SP128!C41</f>
        <v>39</v>
      </c>
      <c r="S77" s="41" t="str">
        <f>SP128!D41</f>
        <v>Spieler 26</v>
      </c>
      <c r="T77" s="42">
        <f>SP128!F41</f>
        <v>0</v>
      </c>
      <c r="W77" s="46">
        <f>IF(SP128!L188="","",SP128!L188)</f>
      </c>
      <c r="X77" s="43" t="str">
        <f>SP128!E188</f>
        <v>Sieger 116</v>
      </c>
      <c r="Y77" s="44">
        <f>SP128!G188</f>
        <v>0</v>
      </c>
    </row>
    <row r="78" spans="11:23" ht="13.5" thickBot="1">
      <c r="K78" s="47">
        <f>SP128!C172</f>
        <v>170</v>
      </c>
      <c r="L78" s="41" t="str">
        <f>SP128!D172</f>
        <v>Sieger 147</v>
      </c>
      <c r="M78" s="42">
        <f>SP128!F172</f>
        <v>0</v>
      </c>
      <c r="O78" s="47">
        <f>SP128!C86</f>
        <v>84</v>
      </c>
      <c r="P78" s="41" t="str">
        <f>SP128!D86</f>
        <v>Verlierer 39</v>
      </c>
      <c r="Q78" s="42">
        <f>SP128!F86</f>
        <v>0</v>
      </c>
      <c r="R78" s="46">
        <f>IF(SP128!L41="","",SP128!L41)</f>
      </c>
      <c r="S78" s="43" t="str">
        <f>SP128!E41</f>
        <v>Spieler 90</v>
      </c>
      <c r="T78" s="44">
        <f>SP128!G41</f>
        <v>0</v>
      </c>
      <c r="U78" s="47">
        <f>SP128!C118</f>
        <v>116</v>
      </c>
      <c r="V78" s="41" t="str">
        <f>SP128!D118</f>
        <v>Sieger 39</v>
      </c>
      <c r="W78" s="42">
        <f>SP128!F118</f>
        <v>0</v>
      </c>
    </row>
    <row r="79" spans="11:23" ht="13.5" thickBot="1">
      <c r="K79" s="46">
        <f>IF(SP128!L172="","",SP128!L172)</f>
      </c>
      <c r="L79" s="43" t="str">
        <f>SP128!E172</f>
        <v>Sieger 148</v>
      </c>
      <c r="M79" s="44">
        <f>SP128!G172</f>
        <v>0</v>
      </c>
      <c r="O79" s="46">
        <f>IF(SP128!L86="","",SP128!L86)</f>
      </c>
      <c r="P79" s="43" t="str">
        <f>SP128!E86</f>
        <v>Verlierer 40</v>
      </c>
      <c r="Q79" s="44">
        <f>SP128!G86</f>
        <v>0</v>
      </c>
      <c r="R79" s="47">
        <f>SP128!C42</f>
        <v>40</v>
      </c>
      <c r="S79" s="41" t="str">
        <f>SP128!D42</f>
        <v>Spieler 58</v>
      </c>
      <c r="T79" s="42">
        <f>SP128!F42</f>
        <v>0</v>
      </c>
      <c r="U79" s="46">
        <f>IF(SP128!L118="","",SP128!L118)</f>
      </c>
      <c r="V79" s="43" t="str">
        <f>SP128!E118</f>
        <v>Sieger 40</v>
      </c>
      <c r="W79" s="44">
        <f>SP128!G118</f>
        <v>0</v>
      </c>
    </row>
    <row r="80" spans="5:29" ht="13.5" thickBot="1">
      <c r="E80" s="47">
        <f>SP128!C237</f>
        <v>235</v>
      </c>
      <c r="F80" s="41" t="str">
        <f>SP128!D237</f>
        <v>Sieger 229</v>
      </c>
      <c r="G80" s="42">
        <f>SP128!F237</f>
        <v>0</v>
      </c>
      <c r="M80" s="45">
        <f>SP128!C150</f>
        <v>148</v>
      </c>
      <c r="N80" s="41" t="str">
        <f>SP128!D150</f>
        <v>Sieger 84</v>
      </c>
      <c r="O80" s="42">
        <f>SP128!F150</f>
        <v>0</v>
      </c>
      <c r="R80" s="46">
        <f>IF(SP128!L42="","",SP128!L42)</f>
      </c>
      <c r="S80" s="43" t="str">
        <f>SP128!E42</f>
        <v>Spieler 122</v>
      </c>
      <c r="T80" s="44">
        <f>SP128!G42</f>
        <v>0</v>
      </c>
      <c r="AA80" s="47">
        <f>SP128!C241</f>
        <v>239</v>
      </c>
      <c r="AB80" s="41" t="str">
        <f>SP128!D241</f>
        <v>Sieger 221</v>
      </c>
      <c r="AC80" s="42">
        <f>SP128!F241</f>
        <v>0</v>
      </c>
    </row>
    <row r="81" spans="5:29" ht="13.5" thickBot="1">
      <c r="E81" s="46">
        <f>IF(SP128!L237="","",SP128!L237)</f>
      </c>
      <c r="F81" s="43" t="str">
        <f>SP128!E237</f>
        <v>Sieger 230</v>
      </c>
      <c r="G81" s="44">
        <f>SP128!G237</f>
        <v>0</v>
      </c>
      <c r="M81" s="46">
        <f>IF(SP128!L150="","",SP128!L150)</f>
      </c>
      <c r="N81" s="43" t="str">
        <f>SP128!E150</f>
        <v>Verlierer 125</v>
      </c>
      <c r="O81" s="44">
        <f>SP128!G150</f>
        <v>0</v>
      </c>
      <c r="R81" s="45">
        <f>SP128!C43</f>
        <v>41</v>
      </c>
      <c r="S81" s="41" t="str">
        <f>SP128!D43</f>
        <v>Spieler 6</v>
      </c>
      <c r="T81" s="42">
        <f>SP128!F43</f>
        <v>0</v>
      </c>
      <c r="AA81" s="46">
        <f>IF(SP128!L241="","",SP128!L241)</f>
      </c>
      <c r="AB81" s="43" t="str">
        <f>SP128!E241</f>
        <v>Sieger 222</v>
      </c>
      <c r="AC81" s="44">
        <f>SP128!G241</f>
        <v>0</v>
      </c>
    </row>
    <row r="82" spans="3:23" ht="13.5" thickBot="1">
      <c r="C82" s="47">
        <f>SP128!C245</f>
        <v>243</v>
      </c>
      <c r="D82" s="41" t="str">
        <f>SP128!D245</f>
        <v>Sieger 235</v>
      </c>
      <c r="E82" s="42">
        <f>SP128!F245</f>
        <v>0</v>
      </c>
      <c r="O82" s="45">
        <f>SP128!C87</f>
        <v>85</v>
      </c>
      <c r="P82" s="41" t="str">
        <f>SP128!D87</f>
        <v>Verlierer 41</v>
      </c>
      <c r="Q82" s="42">
        <f>SP128!F87</f>
        <v>0</v>
      </c>
      <c r="R82" s="46">
        <f>IF(SP128!L43="","",SP128!L43)</f>
      </c>
      <c r="S82" s="43" t="str">
        <f>SP128!E43</f>
        <v>Spieler 70</v>
      </c>
      <c r="T82" s="44">
        <f>SP128!G43</f>
        <v>0</v>
      </c>
      <c r="U82" s="47">
        <f>SP128!C119</f>
        <v>117</v>
      </c>
      <c r="V82" s="41" t="str">
        <f>SP128!D119</f>
        <v>Sieger 41</v>
      </c>
      <c r="W82" s="42">
        <f>SP128!F119</f>
        <v>0</v>
      </c>
    </row>
    <row r="83" spans="3:23" ht="13.5" thickBot="1">
      <c r="C83" s="46">
        <f>IF(SP128!L245="","",SP128!L245)</f>
      </c>
      <c r="D83" s="43" t="str">
        <f>SP128!E245</f>
        <v>Verlierer 240</v>
      </c>
      <c r="E83" s="44">
        <f>SP128!G245</f>
        <v>0</v>
      </c>
      <c r="O83" s="46">
        <f>IF(SP128!L87="","",SP128!L87)</f>
      </c>
      <c r="P83" s="43" t="str">
        <f>SP128!E87</f>
        <v>Verlierer 42</v>
      </c>
      <c r="Q83" s="44">
        <f>SP128!G87</f>
        <v>0</v>
      </c>
      <c r="R83" s="47">
        <f>SP128!C44</f>
        <v>42</v>
      </c>
      <c r="S83" s="41" t="str">
        <f>SP128!D44</f>
        <v>Spieler 38</v>
      </c>
      <c r="T83" s="42">
        <f>SP128!F44</f>
        <v>0</v>
      </c>
      <c r="U83" s="46">
        <f>IF(SP128!L119="","",SP128!L119)</f>
      </c>
      <c r="V83" s="43" t="str">
        <f>SP128!E119</f>
        <v>Sieger 42</v>
      </c>
      <c r="W83" s="44">
        <f>SP128!G119</f>
        <v>0</v>
      </c>
    </row>
    <row r="84" spans="9:25" ht="13.5" thickBot="1">
      <c r="I84" s="47">
        <f>SP128!C205</f>
        <v>203</v>
      </c>
      <c r="J84" s="41" t="str">
        <f>SP128!D205</f>
        <v>Sieger 171</v>
      </c>
      <c r="K84" s="42">
        <f>SP128!F205</f>
        <v>0</v>
      </c>
      <c r="M84" s="47">
        <f>SP128!C151</f>
        <v>149</v>
      </c>
      <c r="N84" s="41" t="str">
        <f>SP128!D151</f>
        <v>Sieger 85</v>
      </c>
      <c r="O84" s="42">
        <f>SP128!F151</f>
        <v>0</v>
      </c>
      <c r="R84" s="46">
        <f>IF(SP128!L44="","",SP128!L44)</f>
      </c>
      <c r="S84" s="43" t="str">
        <f>SP128!E44</f>
        <v>Spieler 102</v>
      </c>
      <c r="T84" s="44">
        <f>SP128!G44</f>
        <v>0</v>
      </c>
      <c r="W84" s="47">
        <f>SP128!C189</f>
        <v>187</v>
      </c>
      <c r="X84" s="41" t="str">
        <f>SP128!D189</f>
        <v>Sieger 117</v>
      </c>
      <c r="Y84" s="42">
        <f>SP128!F189</f>
        <v>0</v>
      </c>
    </row>
    <row r="85" spans="9:25" ht="13.5" thickBot="1">
      <c r="I85" s="46">
        <f>IF(SP128!L205="","",SP128!L205)</f>
      </c>
      <c r="J85" s="43" t="str">
        <f>SP128!E205</f>
        <v>Verlierer 185</v>
      </c>
      <c r="K85" s="44">
        <f>SP128!G205</f>
        <v>0</v>
      </c>
      <c r="M85" s="46">
        <f>IF(SP128!L151="","",SP128!L151)</f>
      </c>
      <c r="N85" s="43" t="str">
        <f>SP128!E151</f>
        <v>Verlierer 124</v>
      </c>
      <c r="O85" s="44">
        <f>SP128!G151</f>
        <v>0</v>
      </c>
      <c r="R85" s="47">
        <f>SP128!C45</f>
        <v>43</v>
      </c>
      <c r="S85" s="41" t="str">
        <f>SP128!D45</f>
        <v>Spieler 22</v>
      </c>
      <c r="T85" s="42">
        <f>SP128!F45</f>
        <v>0</v>
      </c>
      <c r="W85" s="46">
        <f>IF(SP128!L189="","",SP128!L189)</f>
      </c>
      <c r="X85" s="43" t="str">
        <f>SP128!E189</f>
        <v>Sieger 118</v>
      </c>
      <c r="Y85" s="44">
        <f>SP128!G189</f>
        <v>0</v>
      </c>
    </row>
    <row r="86" spans="11:23" ht="13.5" thickBot="1">
      <c r="K86" s="47">
        <f>SP128!C173</f>
        <v>171</v>
      </c>
      <c r="L86" s="41" t="str">
        <f>SP128!D173</f>
        <v>Sieger 149</v>
      </c>
      <c r="M86" s="42">
        <f>SP128!F173</f>
        <v>0</v>
      </c>
      <c r="O86" s="47">
        <f>SP128!C88</f>
        <v>86</v>
      </c>
      <c r="P86" s="41" t="str">
        <f>SP128!D88</f>
        <v>Verlierer 43</v>
      </c>
      <c r="Q86" s="42">
        <f>SP128!F88</f>
        <v>0</v>
      </c>
      <c r="R86" s="46">
        <f>IF(SP128!L45="","",SP128!L45)</f>
      </c>
      <c r="S86" s="43" t="str">
        <f>SP128!E45</f>
        <v>Spieler 86</v>
      </c>
      <c r="T86" s="44">
        <f>SP128!G45</f>
        <v>0</v>
      </c>
      <c r="U86" s="47">
        <f>SP128!C120</f>
        <v>118</v>
      </c>
      <c r="V86" s="41" t="str">
        <f>SP128!D120</f>
        <v>Sieger 43</v>
      </c>
      <c r="W86" s="42">
        <f>SP128!F120</f>
        <v>0</v>
      </c>
    </row>
    <row r="87" spans="7:23" ht="13.5" thickBot="1">
      <c r="G87" s="45">
        <f>SP128!C216</f>
        <v>214</v>
      </c>
      <c r="H87" s="41" t="str">
        <f>SP128!D216</f>
        <v>Sieger 203</v>
      </c>
      <c r="I87" s="42">
        <f>SP128!F216</f>
        <v>0</v>
      </c>
      <c r="K87" s="46">
        <f>IF(SP128!L173="","",SP128!L173)</f>
      </c>
      <c r="L87" s="43" t="str">
        <f>SP128!E173</f>
        <v>Sieger 150</v>
      </c>
      <c r="M87" s="44">
        <f>SP128!G173</f>
        <v>0</v>
      </c>
      <c r="O87" s="46">
        <f>IF(SP128!L88="","",SP128!L88)</f>
      </c>
      <c r="P87" s="43" t="str">
        <f>SP128!E88</f>
        <v>Verlierer 44</v>
      </c>
      <c r="Q87" s="44">
        <f>SP128!G88</f>
        <v>0</v>
      </c>
      <c r="R87" s="47">
        <f>SP128!C46</f>
        <v>44</v>
      </c>
      <c r="S87" s="41" t="str">
        <f>SP128!D46</f>
        <v>Spieler 54</v>
      </c>
      <c r="T87" s="42">
        <f>SP128!F46</f>
        <v>0</v>
      </c>
      <c r="U87" s="46">
        <f>IF(SP128!L120="","",SP128!L120)</f>
      </c>
      <c r="V87" s="43" t="str">
        <f>SP128!E120</f>
        <v>Sieger 44</v>
      </c>
      <c r="W87" s="44">
        <f>SP128!G120</f>
        <v>0</v>
      </c>
    </row>
    <row r="88" spans="7:27" ht="13.5" thickBot="1">
      <c r="G88" s="46">
        <f>IF(SP128!L216="","",SP128!L216)</f>
      </c>
      <c r="H88" s="43" t="str">
        <f>SP128!E216</f>
        <v>Sieger 204</v>
      </c>
      <c r="I88" s="44">
        <f>SP128!G216</f>
        <v>0</v>
      </c>
      <c r="M88" s="47">
        <f>SP128!C152</f>
        <v>150</v>
      </c>
      <c r="N88" s="41" t="str">
        <f>SP128!D152</f>
        <v>Sieger 86</v>
      </c>
      <c r="O88" s="42">
        <f>SP128!F152</f>
        <v>0</v>
      </c>
      <c r="R88" s="46">
        <f>IF(SP128!L46="","",SP128!L46)</f>
      </c>
      <c r="S88" s="43" t="str">
        <f>SP128!E46</f>
        <v>Spieler 118</v>
      </c>
      <c r="T88" s="44">
        <f>SP128!G46</f>
        <v>0</v>
      </c>
      <c r="Y88" s="45">
        <f>SP128!C224</f>
        <v>222</v>
      </c>
      <c r="Z88" s="41" t="str">
        <f>SP128!D224</f>
        <v>Sieger 187</v>
      </c>
      <c r="AA88" s="42">
        <f>SP128!F224</f>
        <v>0</v>
      </c>
    </row>
    <row r="89" spans="5:27" ht="13.5" thickBot="1">
      <c r="E89" s="45">
        <f>SP128!C232</f>
        <v>230</v>
      </c>
      <c r="F89" s="41" t="str">
        <f>SP128!D232</f>
        <v>Sieger 214</v>
      </c>
      <c r="G89" s="42">
        <f>SP128!F232</f>
        <v>0</v>
      </c>
      <c r="M89" s="46">
        <f>IF(SP128!L152="","",SP128!L152)</f>
      </c>
      <c r="N89" s="43" t="str">
        <f>SP128!E152</f>
        <v>Verlierer 123</v>
      </c>
      <c r="O89" s="44">
        <f>SP128!G152</f>
        <v>0</v>
      </c>
      <c r="R89" s="45">
        <f>SP128!C47</f>
        <v>45</v>
      </c>
      <c r="S89" s="41" t="str">
        <f>SP128!D47</f>
        <v>Spieler 14</v>
      </c>
      <c r="T89" s="42">
        <f>SP128!F47</f>
        <v>0</v>
      </c>
      <c r="Y89" s="46">
        <f>IF(SP128!L224="","",SP128!L224)</f>
      </c>
      <c r="Z89" s="43" t="str">
        <f>SP128!E224</f>
        <v>Sieger 188</v>
      </c>
      <c r="AA89" s="44">
        <f>SP128!G224</f>
        <v>0</v>
      </c>
    </row>
    <row r="90" spans="5:23" ht="13.5" thickBot="1">
      <c r="E90" s="46">
        <f>IF(SP128!L232="","",SP128!L232)</f>
      </c>
      <c r="F90" s="43" t="str">
        <f>SP128!E232</f>
        <v>Verlierer 224</v>
      </c>
      <c r="G90" s="44">
        <f>SP128!G232</f>
        <v>0</v>
      </c>
      <c r="O90" s="47">
        <f>SP128!C89</f>
        <v>87</v>
      </c>
      <c r="P90" s="41" t="str">
        <f>SP128!D89</f>
        <v>Verlierer 45</v>
      </c>
      <c r="Q90" s="42">
        <f>SP128!F89</f>
        <v>0</v>
      </c>
      <c r="R90" s="46">
        <f>IF(SP128!L47="","",SP128!L47)</f>
      </c>
      <c r="S90" s="43" t="str">
        <f>SP128!E47</f>
        <v>Spieler 78</v>
      </c>
      <c r="T90" s="44">
        <f>SP128!G47</f>
        <v>0</v>
      </c>
      <c r="U90" s="45">
        <f>SP128!C121</f>
        <v>119</v>
      </c>
      <c r="V90" s="41" t="str">
        <f>SP128!D121</f>
        <v>Sieger 45</v>
      </c>
      <c r="W90" s="42">
        <f>SP128!F121</f>
        <v>0</v>
      </c>
    </row>
    <row r="91" spans="15:23" ht="13.5" thickBot="1">
      <c r="O91" s="46">
        <f>IF(SP128!L89="","",SP128!L89)</f>
      </c>
      <c r="P91" s="43" t="str">
        <f>SP128!E89</f>
        <v>Verlierer 46</v>
      </c>
      <c r="Q91" s="44">
        <f>SP128!G89</f>
        <v>0</v>
      </c>
      <c r="R91" s="47">
        <f>SP128!C48</f>
        <v>46</v>
      </c>
      <c r="S91" s="41" t="str">
        <f>SP128!D48</f>
        <v>Spieler 48</v>
      </c>
      <c r="T91" s="42">
        <f>SP128!F48</f>
        <v>0</v>
      </c>
      <c r="U91" s="46">
        <f>IF(SP128!L121="","",SP128!L121)</f>
      </c>
      <c r="V91" s="43" t="str">
        <f>SP128!E121</f>
        <v>Sieger 46</v>
      </c>
      <c r="W91" s="44">
        <f>SP128!G121</f>
        <v>0</v>
      </c>
    </row>
    <row r="92" spans="9:25" ht="13.5" thickBot="1">
      <c r="I92" s="47">
        <f>SP128!C206</f>
        <v>204</v>
      </c>
      <c r="J92" s="41" t="str">
        <f>SP128!D206</f>
        <v>Sieger 172</v>
      </c>
      <c r="K92" s="42">
        <f>SP128!F206</f>
        <v>0</v>
      </c>
      <c r="M92" s="47">
        <f>SP128!C153</f>
        <v>151</v>
      </c>
      <c r="N92" s="41" t="str">
        <f>SP128!D153</f>
        <v>Sieger 87</v>
      </c>
      <c r="O92" s="42">
        <f>SP128!F153</f>
        <v>0</v>
      </c>
      <c r="R92" s="46">
        <f>IF(SP128!L48="","",SP128!L48)</f>
      </c>
      <c r="S92" s="43" t="str">
        <f>SP128!E48</f>
        <v>Spieler 112</v>
      </c>
      <c r="T92" s="44">
        <f>SP128!G48</f>
        <v>0</v>
      </c>
      <c r="W92" s="45">
        <f>SP128!C190</f>
        <v>188</v>
      </c>
      <c r="X92" s="41" t="str">
        <f>SP128!D190</f>
        <v>Sieger 119</v>
      </c>
      <c r="Y92" s="42">
        <f>SP128!F190</f>
        <v>0</v>
      </c>
    </row>
    <row r="93" spans="9:25" ht="13.5" thickBot="1">
      <c r="I93" s="46">
        <f>IF(SP128!L206="","",SP128!L206)</f>
      </c>
      <c r="J93" s="43" t="str">
        <f>SP128!E206</f>
        <v>Verlierer 186</v>
      </c>
      <c r="K93" s="44">
        <f>SP128!G206</f>
        <v>0</v>
      </c>
      <c r="M93" s="46">
        <f>IF(SP128!L153="","",SP128!L153)</f>
      </c>
      <c r="N93" s="43" t="str">
        <f>SP128!E153</f>
        <v>Verlierer 122</v>
      </c>
      <c r="O93" s="44">
        <f>SP128!G153</f>
        <v>0</v>
      </c>
      <c r="R93" s="45">
        <f>SP128!C49</f>
        <v>47</v>
      </c>
      <c r="S93" s="41" t="str">
        <f>SP128!D49</f>
        <v>Spieler 30</v>
      </c>
      <c r="T93" s="42">
        <f>SP128!F49</f>
        <v>0</v>
      </c>
      <c r="W93" s="46">
        <f>IF(SP128!L190="","",SP128!L190)</f>
      </c>
      <c r="X93" s="43" t="str">
        <f>SP128!E190</f>
        <v>Sieger 120</v>
      </c>
      <c r="Y93" s="44">
        <f>SP128!G190</f>
        <v>0</v>
      </c>
    </row>
    <row r="94" spans="11:23" ht="13.5" thickBot="1">
      <c r="K94" s="45">
        <f>SP128!C174</f>
        <v>172</v>
      </c>
      <c r="L94" s="41" t="str">
        <f>SP128!D174</f>
        <v>Sieger 151</v>
      </c>
      <c r="M94" s="42">
        <f>SP128!F174</f>
        <v>0</v>
      </c>
      <c r="O94" s="47">
        <f>SP128!C90</f>
        <v>88</v>
      </c>
      <c r="P94" s="41" t="str">
        <f>SP128!D90</f>
        <v>Verlierer 47</v>
      </c>
      <c r="Q94" s="42">
        <f>SP128!F90</f>
        <v>0</v>
      </c>
      <c r="R94" s="46">
        <f>IF(SP128!L49="","",SP128!L49)</f>
      </c>
      <c r="S94" s="43" t="str">
        <f>SP128!E49</f>
        <v>Spieler 94</v>
      </c>
      <c r="T94" s="44">
        <f>SP128!G49</f>
        <v>0</v>
      </c>
      <c r="U94" s="47">
        <f>SP128!C122</f>
        <v>120</v>
      </c>
      <c r="V94" s="41" t="str">
        <f>SP128!D122</f>
        <v>Sieger 47</v>
      </c>
      <c r="W94" s="42">
        <f>SP128!F122</f>
        <v>0</v>
      </c>
    </row>
    <row r="95" spans="11:23" ht="13.5" thickBot="1">
      <c r="K95" s="46">
        <f>IF(SP128!L174="","",SP128!L174)</f>
      </c>
      <c r="L95" s="43" t="str">
        <f>SP128!E174</f>
        <v>Sieger 152</v>
      </c>
      <c r="M95" s="44">
        <f>SP128!G174</f>
        <v>0</v>
      </c>
      <c r="O95" s="46">
        <f>IF(SP128!L90="","",SP128!L90)</f>
      </c>
      <c r="P95" s="43" t="str">
        <f>SP128!E90</f>
        <v>Verlierer 48</v>
      </c>
      <c r="Q95" s="44">
        <f>SP128!G90</f>
        <v>0</v>
      </c>
      <c r="R95" s="47">
        <f>SP128!C50</f>
        <v>48</v>
      </c>
      <c r="S95" s="41" t="str">
        <f>SP128!D50</f>
        <v>Spieler 62</v>
      </c>
      <c r="T95" s="42">
        <f>SP128!F50</f>
        <v>0</v>
      </c>
      <c r="U95" s="46">
        <f>IF(SP128!L122="","",SP128!L122)</f>
      </c>
      <c r="V95" s="43" t="str">
        <f>SP128!E122</f>
        <v>Sieger 48</v>
      </c>
      <c r="W95" s="44">
        <f>SP128!G122</f>
        <v>0</v>
      </c>
    </row>
    <row r="96" spans="13:31" ht="13.5" thickBot="1">
      <c r="M96" s="45">
        <f>SP128!C154</f>
        <v>152</v>
      </c>
      <c r="N96" s="41" t="str">
        <f>SP128!D154</f>
        <v>Sieger 88</v>
      </c>
      <c r="O96" s="42">
        <f>SP128!F154</f>
        <v>0</v>
      </c>
      <c r="R96" s="46">
        <f>IF(SP128!L50="","",SP128!L50)</f>
      </c>
      <c r="S96" s="43" t="str">
        <f>SP128!E50</f>
        <v>Spieler 126</v>
      </c>
      <c r="T96" s="44">
        <f>SP128!G50</f>
        <v>0</v>
      </c>
      <c r="AC96" s="45">
        <f>SP128!C250</f>
        <v>248</v>
      </c>
      <c r="AD96" s="41" t="str">
        <f>SP128!D250</f>
        <v>Sieger 239</v>
      </c>
      <c r="AE96" s="42">
        <f>SP128!F250</f>
        <v>0</v>
      </c>
    </row>
    <row r="97" spans="3:31" ht="13.5" thickBot="1">
      <c r="C97" s="45">
        <f>SP128!C248</f>
        <v>246</v>
      </c>
      <c r="D97" s="41" t="str">
        <f>SP128!D248</f>
        <v>Sieger 243</v>
      </c>
      <c r="E97" s="42">
        <f>SP128!F248</f>
        <v>0</v>
      </c>
      <c r="M97" s="46">
        <f>IF(SP128!L154="","",SP128!L154)</f>
      </c>
      <c r="N97" s="43" t="str">
        <f>SP128!E154</f>
        <v>Verlierer 121</v>
      </c>
      <c r="O97" s="44">
        <f>SP128!G154</f>
        <v>0</v>
      </c>
      <c r="R97" s="45">
        <f>SP128!C51</f>
        <v>49</v>
      </c>
      <c r="S97" s="41" t="str">
        <f>SP128!D51</f>
        <v>Spieler 4</v>
      </c>
      <c r="T97" s="42">
        <f>SP128!F51</f>
        <v>0</v>
      </c>
      <c r="AC97" s="46">
        <f>IF(SP128!L250="","",SP128!L250)</f>
      </c>
      <c r="AD97" s="43" t="str">
        <f>SP128!E250</f>
        <v>Sieger 240</v>
      </c>
      <c r="AE97" s="44">
        <f>SP128!G250</f>
        <v>0</v>
      </c>
    </row>
    <row r="98" spans="3:23" ht="13.5" thickBot="1">
      <c r="C98" s="46">
        <f>IF(SP128!L248="","",SP128!L248)</f>
      </c>
      <c r="D98" s="43" t="str">
        <f>SP128!E248</f>
        <v>Sieger 244</v>
      </c>
      <c r="E98" s="44">
        <f>SP128!G248</f>
        <v>0</v>
      </c>
      <c r="O98" s="45">
        <f>SP128!C91</f>
        <v>89</v>
      </c>
      <c r="P98" s="41" t="str">
        <f>SP128!D91</f>
        <v>Verlierer 49</v>
      </c>
      <c r="Q98" s="42">
        <f>SP128!F91</f>
        <v>0</v>
      </c>
      <c r="R98" s="46">
        <f>IF(SP128!L51="","",SP128!L51)</f>
      </c>
      <c r="S98" s="43" t="str">
        <f>SP128!E51</f>
        <v>Spieler 68</v>
      </c>
      <c r="T98" s="44">
        <f>SP128!G51</f>
        <v>0</v>
      </c>
      <c r="U98" s="45">
        <f>SP128!C123</f>
        <v>121</v>
      </c>
      <c r="V98" s="41" t="str">
        <f>SP128!D123</f>
        <v>Sieger 49</v>
      </c>
      <c r="W98" s="42">
        <f>SP128!F123</f>
        <v>0</v>
      </c>
    </row>
    <row r="99" spans="1:23" ht="13.5" thickBot="1">
      <c r="A99" s="45">
        <f>SP128!C252</f>
        <v>250</v>
      </c>
      <c r="B99" s="41" t="str">
        <f>SP128!D252</f>
        <v>Sieger 246</v>
      </c>
      <c r="C99" s="42">
        <f>SP128!F252</f>
        <v>0</v>
      </c>
      <c r="O99" s="46">
        <f>IF(SP128!L91="","",SP128!L91)</f>
      </c>
      <c r="P99" s="43" t="str">
        <f>SP128!E91</f>
        <v>Verlierer 50</v>
      </c>
      <c r="Q99" s="44">
        <f>SP128!G91</f>
        <v>0</v>
      </c>
      <c r="R99" s="47">
        <f>SP128!C52</f>
        <v>50</v>
      </c>
      <c r="S99" s="41" t="str">
        <f>SP128!D52</f>
        <v>Spieler 36</v>
      </c>
      <c r="T99" s="42">
        <f>SP128!F52</f>
        <v>0</v>
      </c>
      <c r="U99" s="46">
        <f>IF(SP128!L123="","",SP128!L123)</f>
      </c>
      <c r="V99" s="43" t="str">
        <f>SP128!E123</f>
        <v>Sieger 50</v>
      </c>
      <c r="W99" s="44">
        <f>SP128!G123</f>
        <v>0</v>
      </c>
    </row>
    <row r="100" spans="1:25" ht="13.5" thickBot="1">
      <c r="A100" s="46">
        <f>IF(SP128!L252="","",SP128!L252)</f>
      </c>
      <c r="B100" s="43" t="str">
        <f>SP128!E252</f>
        <v>Verlierer 248</v>
      </c>
      <c r="C100" s="44">
        <f>SP128!G252</f>
        <v>0</v>
      </c>
      <c r="I100" s="47">
        <f>SP128!C207</f>
        <v>205</v>
      </c>
      <c r="J100" s="41" t="str">
        <f>SP128!D207</f>
        <v>Sieger 173</v>
      </c>
      <c r="K100" s="42">
        <f>SP128!F207</f>
        <v>0</v>
      </c>
      <c r="M100" s="47">
        <f>SP128!C155</f>
        <v>153</v>
      </c>
      <c r="N100" s="41" t="str">
        <f>SP128!D155</f>
        <v>Sieger 89</v>
      </c>
      <c r="O100" s="42">
        <f>SP128!F155</f>
        <v>0</v>
      </c>
      <c r="R100" s="46">
        <f>IF(SP128!L52="","",SP128!L52)</f>
      </c>
      <c r="S100" s="43" t="str">
        <f>SP128!E52</f>
        <v>Spieler 100</v>
      </c>
      <c r="T100" s="44">
        <f>SP128!G52</f>
        <v>0</v>
      </c>
      <c r="W100" s="47">
        <f>SP128!C191</f>
        <v>189</v>
      </c>
      <c r="X100" s="41" t="str">
        <f>SP128!D191</f>
        <v>Sieger 121</v>
      </c>
      <c r="Y100" s="42">
        <f>SP128!F191</f>
        <v>0</v>
      </c>
    </row>
    <row r="101" spans="9:25" ht="13.5" thickBot="1">
      <c r="I101" s="46">
        <f>IF(SP128!L207="","",SP128!L207)</f>
      </c>
      <c r="J101" s="43" t="str">
        <f>SP128!E207</f>
        <v>Verlierer 191</v>
      </c>
      <c r="K101" s="44">
        <f>SP128!G207</f>
        <v>0</v>
      </c>
      <c r="M101" s="46">
        <f>IF(SP128!L155="","",SP128!L155)</f>
      </c>
      <c r="N101" s="43" t="str">
        <f>SP128!E155</f>
        <v>Verlierer 120</v>
      </c>
      <c r="O101" s="44">
        <f>SP128!G155</f>
        <v>0</v>
      </c>
      <c r="R101" s="47">
        <f>SP128!C53</f>
        <v>51</v>
      </c>
      <c r="S101" s="41" t="str">
        <f>SP128!D53</f>
        <v>Spieler 20</v>
      </c>
      <c r="T101" s="42">
        <f>SP128!F53</f>
        <v>0</v>
      </c>
      <c r="W101" s="46">
        <f>IF(SP128!L191="","",SP128!L191)</f>
      </c>
      <c r="X101" s="43" t="str">
        <f>SP128!E191</f>
        <v>Sieger 122</v>
      </c>
      <c r="Y101" s="44">
        <f>SP128!G191</f>
        <v>0</v>
      </c>
    </row>
    <row r="102" spans="11:23" ht="13.5" thickBot="1">
      <c r="K102" s="47">
        <f>SP128!C175</f>
        <v>173</v>
      </c>
      <c r="L102" s="41" t="str">
        <f>SP128!D175</f>
        <v>Sieger 153</v>
      </c>
      <c r="M102" s="42">
        <f>SP128!F175</f>
        <v>0</v>
      </c>
      <c r="O102" s="47">
        <f>SP128!C92</f>
        <v>90</v>
      </c>
      <c r="P102" s="41" t="str">
        <f>SP128!D92</f>
        <v>Verlierer 51</v>
      </c>
      <c r="Q102" s="42">
        <f>SP128!F92</f>
        <v>0</v>
      </c>
      <c r="R102" s="46">
        <f>IF(SP128!L53="","",SP128!L53)</f>
      </c>
      <c r="S102" s="43" t="str">
        <f>SP128!E53</f>
        <v>Spieler 84</v>
      </c>
      <c r="T102" s="44">
        <f>SP128!G53</f>
        <v>0</v>
      </c>
      <c r="U102" s="47">
        <f>SP128!C124</f>
        <v>122</v>
      </c>
      <c r="V102" s="41" t="str">
        <f>SP128!D124</f>
        <v>Sieger 51</v>
      </c>
      <c r="W102" s="42">
        <f>SP128!F124</f>
        <v>0</v>
      </c>
    </row>
    <row r="103" spans="7:23" ht="13.5" thickBot="1">
      <c r="G103" s="47">
        <f>SP128!C217</f>
        <v>215</v>
      </c>
      <c r="H103" s="41" t="str">
        <f>SP128!D217</f>
        <v>Sieger 205</v>
      </c>
      <c r="I103" s="42">
        <f>SP128!F217</f>
        <v>0</v>
      </c>
      <c r="K103" s="46">
        <f>IF(SP128!L175="","",SP128!L175)</f>
      </c>
      <c r="L103" s="43" t="str">
        <f>SP128!E175</f>
        <v>Sieger 154</v>
      </c>
      <c r="M103" s="44">
        <f>SP128!G175</f>
        <v>0</v>
      </c>
      <c r="O103" s="46">
        <f>IF(SP128!L92="","",SP128!L92)</f>
      </c>
      <c r="P103" s="43" t="str">
        <f>SP128!E92</f>
        <v>Verlierer 52</v>
      </c>
      <c r="Q103" s="44">
        <f>SP128!G92</f>
        <v>0</v>
      </c>
      <c r="R103" s="47">
        <f>SP128!C54</f>
        <v>52</v>
      </c>
      <c r="S103" s="41" t="str">
        <f>SP128!D54</f>
        <v>Spieler 52</v>
      </c>
      <c r="T103" s="42">
        <f>SP128!F54</f>
        <v>0</v>
      </c>
      <c r="U103" s="46">
        <f>IF(SP128!L124="","",SP128!L124)</f>
      </c>
      <c r="V103" s="43" t="str">
        <f>SP128!E124</f>
        <v>Sieger 52</v>
      </c>
      <c r="W103" s="44">
        <f>SP128!G124</f>
        <v>0</v>
      </c>
    </row>
    <row r="104" spans="7:27" ht="13.5" thickBot="1">
      <c r="G104" s="46">
        <f>IF(SP128!L217="","",SP128!L217)</f>
      </c>
      <c r="H104" s="43" t="str">
        <f>SP128!E217</f>
        <v>Sieger 206</v>
      </c>
      <c r="I104" s="44">
        <f>SP128!G217</f>
        <v>0</v>
      </c>
      <c r="M104" s="47">
        <f>SP128!C156</f>
        <v>154</v>
      </c>
      <c r="N104" s="41" t="str">
        <f>SP128!D156</f>
        <v>Sieger 90</v>
      </c>
      <c r="O104" s="42">
        <f>SP128!F156</f>
        <v>0</v>
      </c>
      <c r="R104" s="46">
        <f>IF(SP128!L54="","",SP128!L54)</f>
      </c>
      <c r="S104" s="43" t="str">
        <f>SP128!E54</f>
        <v>Spieler 116</v>
      </c>
      <c r="T104" s="44">
        <f>SP128!G54</f>
        <v>0</v>
      </c>
      <c r="Y104" s="47">
        <f>SP128!C225</f>
        <v>223</v>
      </c>
      <c r="Z104" s="41" t="str">
        <f>SP128!D225</f>
        <v>Sieger 189</v>
      </c>
      <c r="AA104" s="42">
        <f>SP128!F225</f>
        <v>0</v>
      </c>
    </row>
    <row r="105" spans="5:27" ht="13.5" thickBot="1">
      <c r="E105" s="47">
        <f>SP128!C233</f>
        <v>231</v>
      </c>
      <c r="F105" s="41" t="str">
        <f>SP128!D233</f>
        <v>Sieger 215</v>
      </c>
      <c r="G105" s="42">
        <f>SP128!F233</f>
        <v>0</v>
      </c>
      <c r="M105" s="46">
        <f>IF(SP128!L156="","",SP128!L156)</f>
      </c>
      <c r="N105" s="43" t="str">
        <f>SP128!E156</f>
        <v>Verlierer 119</v>
      </c>
      <c r="O105" s="44">
        <f>SP128!G156</f>
        <v>0</v>
      </c>
      <c r="R105" s="45">
        <f>SP128!C55</f>
        <v>53</v>
      </c>
      <c r="S105" s="41" t="str">
        <f>SP128!D55</f>
        <v>Spieler 12</v>
      </c>
      <c r="T105" s="42">
        <f>SP128!F55</f>
        <v>0</v>
      </c>
      <c r="Y105" s="46">
        <f>IF(SP128!L225="","",SP128!L225)</f>
      </c>
      <c r="Z105" s="43" t="str">
        <f>SP128!E225</f>
        <v>Sieger 190</v>
      </c>
      <c r="AA105" s="44">
        <f>SP128!G225</f>
        <v>0</v>
      </c>
    </row>
    <row r="106" spans="5:23" ht="13.5" thickBot="1">
      <c r="E106" s="46">
        <f>IF(SP128!L233="","",SP128!L233)</f>
      </c>
      <c r="F106" s="43" t="str">
        <f>SP128!E233</f>
        <v>Verlierer 221</v>
      </c>
      <c r="G106" s="44">
        <f>SP128!G233</f>
        <v>0</v>
      </c>
      <c r="O106" s="45">
        <f>SP128!C93</f>
        <v>91</v>
      </c>
      <c r="P106" s="41" t="str">
        <f>SP128!D93</f>
        <v>Verlierer 53</v>
      </c>
      <c r="Q106" s="42">
        <f>SP128!F93</f>
        <v>0</v>
      </c>
      <c r="R106" s="46">
        <f>IF(SP128!L55="","",SP128!L55)</f>
      </c>
      <c r="S106" s="43" t="str">
        <f>SP128!E55</f>
        <v>Spieler 76</v>
      </c>
      <c r="T106" s="44">
        <f>SP128!G55</f>
        <v>0</v>
      </c>
      <c r="U106" s="45">
        <f>SP128!C125</f>
        <v>123</v>
      </c>
      <c r="V106" s="41" t="str">
        <f>SP128!D125</f>
        <v>Sieger 53</v>
      </c>
      <c r="W106" s="42">
        <f>SP128!F125</f>
        <v>0</v>
      </c>
    </row>
    <row r="107" spans="15:23" ht="13.5" thickBot="1">
      <c r="O107" s="46">
        <f>IF(SP128!L93="","",SP128!L93)</f>
      </c>
      <c r="P107" s="43" t="str">
        <f>SP128!E93</f>
        <v>Verlierer 54</v>
      </c>
      <c r="Q107" s="44">
        <f>SP128!G93</f>
        <v>0</v>
      </c>
      <c r="R107" s="47">
        <f>SP128!C56</f>
        <v>54</v>
      </c>
      <c r="S107" s="41" t="str">
        <f>SP128!D56</f>
        <v>Spieler 44</v>
      </c>
      <c r="T107" s="42">
        <f>SP128!F56</f>
        <v>0</v>
      </c>
      <c r="U107" s="46">
        <f>IF(SP128!L125="","",SP128!L125)</f>
      </c>
      <c r="V107" s="43" t="str">
        <f>SP128!E125</f>
        <v>Sieger 54</v>
      </c>
      <c r="W107" s="44">
        <f>SP128!G125</f>
        <v>0</v>
      </c>
    </row>
    <row r="108" spans="9:25" ht="13.5" thickBot="1">
      <c r="I108" s="45">
        <f>SP128!C208</f>
        <v>206</v>
      </c>
      <c r="J108" s="41" t="str">
        <f>SP128!D208</f>
        <v>Sieger 174</v>
      </c>
      <c r="K108" s="42">
        <f>SP128!F208</f>
        <v>0</v>
      </c>
      <c r="M108" s="47">
        <f>SP128!C157</f>
        <v>155</v>
      </c>
      <c r="N108" s="41" t="str">
        <f>SP128!D157</f>
        <v>Sieger 91</v>
      </c>
      <c r="O108" s="42">
        <f>SP128!F157</f>
        <v>0</v>
      </c>
      <c r="R108" s="46">
        <f>IF(SP128!L56="","",SP128!L56)</f>
      </c>
      <c r="S108" s="43" t="str">
        <f>SP128!E56</f>
        <v>Spieler 108</v>
      </c>
      <c r="T108" s="44">
        <f>SP128!G56</f>
        <v>0</v>
      </c>
      <c r="W108" s="47">
        <f>SP128!C192</f>
        <v>190</v>
      </c>
      <c r="X108" s="41" t="str">
        <f>SP128!D192</f>
        <v>Sieger 123</v>
      </c>
      <c r="Y108" s="42">
        <f>SP128!F192</f>
        <v>0</v>
      </c>
    </row>
    <row r="109" spans="9:25" ht="13.5" thickBot="1">
      <c r="I109" s="46">
        <f>IF(SP128!L208="","",SP128!L208)</f>
      </c>
      <c r="J109" s="43" t="str">
        <f>SP128!E208</f>
        <v>Verlierer 192</v>
      </c>
      <c r="K109" s="44">
        <f>SP128!G208</f>
        <v>0</v>
      </c>
      <c r="M109" s="46">
        <f>IF(SP128!L157="","",SP128!L157)</f>
      </c>
      <c r="N109" s="43" t="str">
        <f>SP128!E157</f>
        <v>Verlierer 118</v>
      </c>
      <c r="O109" s="44">
        <f>SP128!G157</f>
        <v>0</v>
      </c>
      <c r="R109" s="47">
        <f>SP128!C57</f>
        <v>55</v>
      </c>
      <c r="S109" s="41" t="str">
        <f>SP128!D57</f>
        <v>Spieler 28</v>
      </c>
      <c r="T109" s="42">
        <f>SP128!F57</f>
        <v>0</v>
      </c>
      <c r="W109" s="46">
        <f>IF(SP128!L192="","",SP128!L192)</f>
      </c>
      <c r="X109" s="43" t="str">
        <f>SP128!E192</f>
        <v>Sieger 124</v>
      </c>
      <c r="Y109" s="44">
        <f>SP128!G192</f>
        <v>0</v>
      </c>
    </row>
    <row r="110" spans="11:23" ht="13.5" thickBot="1">
      <c r="K110" s="45">
        <f>SP128!C176</f>
        <v>174</v>
      </c>
      <c r="L110" s="41" t="str">
        <f>SP128!D176</f>
        <v>Sieger 155</v>
      </c>
      <c r="M110" s="42">
        <f>SP128!F176</f>
        <v>0</v>
      </c>
      <c r="O110" s="47">
        <f>SP128!C94</f>
        <v>92</v>
      </c>
      <c r="P110" s="41" t="str">
        <f>SP128!D94</f>
        <v>Verlierer 55</v>
      </c>
      <c r="Q110" s="42">
        <f>SP128!F94</f>
        <v>0</v>
      </c>
      <c r="R110" s="46">
        <f>IF(SP128!L57="","",SP128!L57)</f>
      </c>
      <c r="S110" s="43" t="str">
        <f>SP128!E57</f>
        <v>Spieler 92</v>
      </c>
      <c r="T110" s="44">
        <f>SP128!G57</f>
        <v>0</v>
      </c>
      <c r="U110" s="47">
        <f>SP128!C126</f>
        <v>124</v>
      </c>
      <c r="V110" s="41" t="str">
        <f>SP128!D126</f>
        <v>Sieger 55</v>
      </c>
      <c r="W110" s="42">
        <f>SP128!F126</f>
        <v>0</v>
      </c>
    </row>
    <row r="111" spans="11:23" ht="13.5" thickBot="1">
      <c r="K111" s="46">
        <f>IF(SP128!L176="","",SP128!L176)</f>
      </c>
      <c r="L111" s="43" t="str">
        <f>SP128!E176</f>
        <v>Sieger 156</v>
      </c>
      <c r="M111" s="44">
        <f>SP128!G176</f>
        <v>0</v>
      </c>
      <c r="O111" s="46">
        <f>IF(SP128!L94="","",SP128!L94)</f>
      </c>
      <c r="P111" s="43" t="str">
        <f>SP128!E94</f>
        <v>Verlierer 56</v>
      </c>
      <c r="Q111" s="44">
        <f>SP128!G94</f>
        <v>0</v>
      </c>
      <c r="R111" s="47">
        <f>SP128!C58</f>
        <v>56</v>
      </c>
      <c r="S111" s="41" t="str">
        <f>SP128!D58</f>
        <v>Spieler 60</v>
      </c>
      <c r="T111" s="42">
        <f>SP128!F58</f>
        <v>0</v>
      </c>
      <c r="U111" s="46">
        <f>IF(SP128!L126="","",SP128!L126)</f>
      </c>
      <c r="V111" s="43" t="str">
        <f>SP128!E126</f>
        <v>Sieger 56</v>
      </c>
      <c r="W111" s="44">
        <f>SP128!G126</f>
        <v>0</v>
      </c>
    </row>
    <row r="112" spans="5:29" ht="13.5" thickBot="1">
      <c r="E112" s="47">
        <f>SP128!C238</f>
        <v>236</v>
      </c>
      <c r="F112" s="41" t="str">
        <f>SP128!D238</f>
        <v>Sieger 231</v>
      </c>
      <c r="G112" s="42">
        <f>SP128!F238</f>
        <v>0</v>
      </c>
      <c r="M112" s="45">
        <f>SP128!C158</f>
        <v>156</v>
      </c>
      <c r="N112" s="41" t="str">
        <f>SP128!D158</f>
        <v>Sieger 92</v>
      </c>
      <c r="O112" s="42">
        <f>SP128!F158</f>
        <v>0</v>
      </c>
      <c r="R112" s="46">
        <f>IF(SP128!L58="","",SP128!L58)</f>
      </c>
      <c r="S112" s="43" t="str">
        <f>SP128!E58</f>
        <v>Spieler 124</v>
      </c>
      <c r="T112" s="44">
        <f>SP128!G58</f>
        <v>0</v>
      </c>
      <c r="AA112" s="45">
        <f>SP128!C242</f>
        <v>240</v>
      </c>
      <c r="AB112" s="41" t="str">
        <f>SP128!D242</f>
        <v>Sieger 223</v>
      </c>
      <c r="AC112" s="42">
        <f>SP128!F242</f>
        <v>0</v>
      </c>
    </row>
    <row r="113" spans="5:29" ht="13.5" thickBot="1">
      <c r="E113" s="46">
        <f>IF(SP128!L238="","",SP128!L238)</f>
      </c>
      <c r="F113" s="43" t="str">
        <f>SP128!E238</f>
        <v>Sieger 232</v>
      </c>
      <c r="G113" s="44">
        <f>SP128!G238</f>
        <v>0</v>
      </c>
      <c r="M113" s="46">
        <f>IF(SP128!L158="","",SP128!L158)</f>
      </c>
      <c r="N113" s="43" t="str">
        <f>SP128!E158</f>
        <v>Verlierer 117</v>
      </c>
      <c r="O113" s="44">
        <f>SP128!G158</f>
        <v>0</v>
      </c>
      <c r="R113" s="45">
        <f>SP128!C59</f>
        <v>57</v>
      </c>
      <c r="S113" s="41" t="str">
        <f>SP128!D59</f>
        <v>Spieler 8</v>
      </c>
      <c r="T113" s="42">
        <f>SP128!F59</f>
        <v>0</v>
      </c>
      <c r="AA113" s="46">
        <f>IF(SP128!L242="","",SP128!L242)</f>
      </c>
      <c r="AB113" s="43" t="str">
        <f>SP128!E242</f>
        <v>Sieger 224</v>
      </c>
      <c r="AC113" s="44">
        <f>SP128!G242</f>
        <v>0</v>
      </c>
    </row>
    <row r="114" spans="3:23" ht="13.5" thickBot="1">
      <c r="C114" s="47">
        <f>SP128!C246</f>
        <v>244</v>
      </c>
      <c r="D114" s="41" t="str">
        <f>SP128!D246</f>
        <v>Sieger 236</v>
      </c>
      <c r="E114" s="42">
        <f>SP128!F246</f>
        <v>0</v>
      </c>
      <c r="O114" s="47">
        <f>SP128!C95</f>
        <v>93</v>
      </c>
      <c r="P114" s="41" t="str">
        <f>SP128!D95</f>
        <v>Verlierer 57</v>
      </c>
      <c r="Q114" s="42">
        <f>SP128!F95</f>
        <v>0</v>
      </c>
      <c r="R114" s="46">
        <f>IF(SP128!L59="","",SP128!L59)</f>
      </c>
      <c r="S114" s="43" t="str">
        <f>SP128!E59</f>
        <v>Spieler 72</v>
      </c>
      <c r="T114" s="44">
        <f>SP128!G59</f>
        <v>0</v>
      </c>
      <c r="U114" s="47">
        <f>SP128!C127</f>
        <v>125</v>
      </c>
      <c r="V114" s="41" t="str">
        <f>SP128!D127</f>
        <v>Sieger 57</v>
      </c>
      <c r="W114" s="42">
        <f>SP128!F127</f>
        <v>0</v>
      </c>
    </row>
    <row r="115" spans="3:23" ht="13.5" thickBot="1">
      <c r="C115" s="46">
        <f>IF(SP128!L246="","",SP128!L246)</f>
      </c>
      <c r="D115" s="43" t="str">
        <f>SP128!E246</f>
        <v>Verlierer 239</v>
      </c>
      <c r="E115" s="44">
        <f>SP128!G246</f>
        <v>0</v>
      </c>
      <c r="O115" s="46">
        <f>IF(SP128!L95="","",SP128!L95)</f>
      </c>
      <c r="P115" s="43" t="str">
        <f>SP128!E95</f>
        <v>Verlierer 58</v>
      </c>
      <c r="Q115" s="44">
        <f>SP128!G95</f>
        <v>0</v>
      </c>
      <c r="R115" s="47">
        <f>SP128!C60</f>
        <v>58</v>
      </c>
      <c r="S115" s="41" t="str">
        <f>SP128!D60</f>
        <v>Spieler 40</v>
      </c>
      <c r="T115" s="42">
        <f>SP128!F60</f>
        <v>0</v>
      </c>
      <c r="U115" s="46">
        <f>IF(SP128!L127="","",SP128!L127)</f>
      </c>
      <c r="V115" s="43" t="str">
        <f>SP128!E127</f>
        <v>Sieger 58</v>
      </c>
      <c r="W115" s="44">
        <f>SP128!G127</f>
        <v>0</v>
      </c>
    </row>
    <row r="116" spans="9:25" ht="13.5" thickBot="1">
      <c r="I116" s="47">
        <f>SP128!C209</f>
        <v>207</v>
      </c>
      <c r="J116" s="41" t="str">
        <f>SP128!D209</f>
        <v>Sieger 175</v>
      </c>
      <c r="K116" s="42">
        <f>SP128!F209</f>
        <v>0</v>
      </c>
      <c r="M116" s="47">
        <f>SP128!C159</f>
        <v>157</v>
      </c>
      <c r="N116" s="41" t="str">
        <f>SP128!D159</f>
        <v>Sieger 93</v>
      </c>
      <c r="O116" s="42">
        <f>SP128!F159</f>
        <v>0</v>
      </c>
      <c r="R116" s="46">
        <f>IF(SP128!L60="","",SP128!L60)</f>
      </c>
      <c r="S116" s="43" t="str">
        <f>SP128!E60</f>
        <v>Spieler 104</v>
      </c>
      <c r="T116" s="44">
        <f>SP128!G60</f>
        <v>0</v>
      </c>
      <c r="W116" s="47">
        <f>SP128!C193</f>
        <v>191</v>
      </c>
      <c r="X116" s="41" t="str">
        <f>SP128!D193</f>
        <v>Sieger 125</v>
      </c>
      <c r="Y116" s="42">
        <f>SP128!F193</f>
        <v>0</v>
      </c>
    </row>
    <row r="117" spans="9:25" ht="13.5" thickBot="1">
      <c r="I117" s="46">
        <f>IF(SP128!L209="","",SP128!L209)</f>
      </c>
      <c r="J117" s="43" t="str">
        <f>SP128!E209</f>
        <v>Verlierer 189</v>
      </c>
      <c r="K117" s="44">
        <f>SP128!G209</f>
        <v>0</v>
      </c>
      <c r="M117" s="46">
        <f>IF(SP128!L159="","",SP128!L159)</f>
      </c>
      <c r="N117" s="43" t="str">
        <f>SP128!E159</f>
        <v>Verlierer 116</v>
      </c>
      <c r="O117" s="44">
        <f>SP128!G159</f>
        <v>0</v>
      </c>
      <c r="R117" s="47">
        <f>SP128!C61</f>
        <v>59</v>
      </c>
      <c r="S117" s="41" t="str">
        <f>SP128!D61</f>
        <v>Spieler 24</v>
      </c>
      <c r="T117" s="42">
        <f>SP128!F61</f>
        <v>0</v>
      </c>
      <c r="W117" s="46">
        <f>IF(SP128!L193="","",SP128!L193)</f>
      </c>
      <c r="X117" s="43" t="str">
        <f>SP128!E193</f>
        <v>Sieger 126</v>
      </c>
      <c r="Y117" s="44">
        <f>SP128!G193</f>
        <v>0</v>
      </c>
    </row>
    <row r="118" spans="11:23" ht="13.5" thickBot="1">
      <c r="K118" s="47">
        <f>SP128!C177</f>
        <v>175</v>
      </c>
      <c r="L118" s="41" t="str">
        <f>SP128!D177</f>
        <v>Sieger 157</v>
      </c>
      <c r="M118" s="42">
        <f>SP128!F177</f>
        <v>0</v>
      </c>
      <c r="O118" s="47">
        <f>SP128!C96</f>
        <v>94</v>
      </c>
      <c r="P118" s="41" t="str">
        <f>SP128!D96</f>
        <v>Verlierer 59</v>
      </c>
      <c r="Q118" s="42">
        <f>SP128!F96</f>
        <v>0</v>
      </c>
      <c r="R118" s="46">
        <f>IF(SP128!L61="","",SP128!L61)</f>
      </c>
      <c r="S118" s="43" t="str">
        <f>SP128!E61</f>
        <v>Spieler 88</v>
      </c>
      <c r="T118" s="44">
        <f>SP128!G61</f>
        <v>0</v>
      </c>
      <c r="U118" s="47">
        <f>SP128!C128</f>
        <v>126</v>
      </c>
      <c r="V118" s="41" t="str">
        <f>SP128!D128</f>
        <v>Sieger 59</v>
      </c>
      <c r="W118" s="42">
        <f>SP128!F128</f>
        <v>0</v>
      </c>
    </row>
    <row r="119" spans="7:23" ht="13.5" thickBot="1">
      <c r="G119" s="47">
        <f>SP128!C218</f>
        <v>216</v>
      </c>
      <c r="H119" s="41" t="str">
        <f>SP128!D218</f>
        <v>Sieger 207</v>
      </c>
      <c r="I119" s="42">
        <f>SP128!F218</f>
        <v>0</v>
      </c>
      <c r="K119" s="46">
        <f>IF(SP128!L177="","",SP128!L177)</f>
      </c>
      <c r="L119" s="43" t="str">
        <f>SP128!E177</f>
        <v>Sieger 158</v>
      </c>
      <c r="M119" s="44">
        <f>SP128!G177</f>
        <v>0</v>
      </c>
      <c r="O119" s="46">
        <f>IF(SP128!L96="","",SP128!L96)</f>
      </c>
      <c r="P119" s="43" t="str">
        <f>SP128!E96</f>
        <v>Verlierer 60</v>
      </c>
      <c r="Q119" s="44">
        <f>SP128!G96</f>
        <v>0</v>
      </c>
      <c r="R119" s="47">
        <f>SP128!C62</f>
        <v>60</v>
      </c>
      <c r="S119" s="41" t="str">
        <f>SP128!D62</f>
        <v>Spieler 56</v>
      </c>
      <c r="T119" s="42">
        <f>SP128!F62</f>
        <v>0</v>
      </c>
      <c r="U119" s="46">
        <f>IF(SP128!L128="","",SP128!L128)</f>
      </c>
      <c r="V119" s="43" t="str">
        <f>SP128!E128</f>
        <v>Sieger 60</v>
      </c>
      <c r="W119" s="44">
        <f>SP128!G128</f>
        <v>0</v>
      </c>
    </row>
    <row r="120" spans="7:27" ht="13.5" thickBot="1">
      <c r="G120" s="46">
        <f>IF(SP128!L218="","",SP128!L218)</f>
      </c>
      <c r="H120" s="43" t="str">
        <f>SP128!E218</f>
        <v>Sieger 208</v>
      </c>
      <c r="I120" s="44">
        <f>SP128!G218</f>
        <v>0</v>
      </c>
      <c r="M120" s="45">
        <f>SP128!C160</f>
        <v>158</v>
      </c>
      <c r="N120" s="41" t="str">
        <f>SP128!D160</f>
        <v>Sieger 94</v>
      </c>
      <c r="O120" s="42">
        <f>SP128!F160</f>
        <v>0</v>
      </c>
      <c r="R120" s="46">
        <f>IF(SP128!L62="","",SP128!L62)</f>
      </c>
      <c r="S120" s="43" t="str">
        <f>SP128!E62</f>
        <v>Spieler 120</v>
      </c>
      <c r="T120" s="44">
        <f>SP128!G62</f>
        <v>0</v>
      </c>
      <c r="Y120" s="45">
        <f>SP128!C226</f>
        <v>224</v>
      </c>
      <c r="Z120" s="41" t="str">
        <f>SP128!D226</f>
        <v>Sieger 191</v>
      </c>
      <c r="AA120" s="42">
        <f>SP128!F226</f>
        <v>0</v>
      </c>
    </row>
    <row r="121" spans="5:27" ht="13.5" thickBot="1">
      <c r="E121" s="45">
        <f>SP128!C234</f>
        <v>232</v>
      </c>
      <c r="F121" s="41" t="str">
        <f>SP128!D234</f>
        <v>Sieger 216</v>
      </c>
      <c r="G121" s="42">
        <f>SP128!F234</f>
        <v>0</v>
      </c>
      <c r="M121" s="46">
        <f>IF(SP128!L160="","",SP128!L160)</f>
      </c>
      <c r="N121" s="43" t="str">
        <f>SP128!E160</f>
        <v>Verlierer 115</v>
      </c>
      <c r="O121" s="44">
        <f>SP128!G160</f>
        <v>0</v>
      </c>
      <c r="R121" s="45">
        <f>SP128!C63</f>
        <v>61</v>
      </c>
      <c r="S121" s="41" t="str">
        <f>SP128!D63</f>
        <v>Spieler 16</v>
      </c>
      <c r="T121" s="42">
        <f>SP128!F63</f>
        <v>0</v>
      </c>
      <c r="Y121" s="46">
        <f>IF(SP128!L226="","",SP128!L226)</f>
      </c>
      <c r="Z121" s="43" t="str">
        <f>SP128!E226</f>
        <v>Sieger 192</v>
      </c>
      <c r="AA121" s="44">
        <f>SP128!G226</f>
        <v>0</v>
      </c>
    </row>
    <row r="122" spans="5:23" ht="13.5" thickBot="1">
      <c r="E122" s="46">
        <f>IF(SP128!L234="","",SP128!L234)</f>
      </c>
      <c r="F122" s="43" t="str">
        <f>SP128!E234</f>
        <v>Verlierer 222</v>
      </c>
      <c r="G122" s="44">
        <f>SP128!G234</f>
        <v>0</v>
      </c>
      <c r="O122" s="45">
        <f>SP128!C97</f>
        <v>95</v>
      </c>
      <c r="P122" s="41" t="str">
        <f>SP128!D97</f>
        <v>Verlierer 61</v>
      </c>
      <c r="Q122" s="42">
        <f>SP128!F97</f>
        <v>0</v>
      </c>
      <c r="R122" s="46">
        <f>IF(SP128!L63="","",SP128!L63)</f>
      </c>
      <c r="S122" s="43" t="str">
        <f>SP128!E63</f>
        <v>Spieler 80</v>
      </c>
      <c r="T122" s="44">
        <f>SP128!G63</f>
        <v>0</v>
      </c>
      <c r="U122" s="45">
        <f>SP128!C129</f>
        <v>127</v>
      </c>
      <c r="V122" s="41" t="str">
        <f>SP128!D129</f>
        <v>Sieger 61</v>
      </c>
      <c r="W122" s="42">
        <f>SP128!F129</f>
        <v>0</v>
      </c>
    </row>
    <row r="123" spans="15:23" ht="13.5" thickBot="1">
      <c r="O123" s="46">
        <f>IF(SP128!L97="","",SP128!L97)</f>
      </c>
      <c r="P123" s="43" t="str">
        <f>SP128!E97</f>
        <v>Verlierer 62</v>
      </c>
      <c r="Q123" s="44">
        <f>SP128!G97</f>
        <v>0</v>
      </c>
      <c r="R123" s="47">
        <f>SP128!C64</f>
        <v>62</v>
      </c>
      <c r="S123" s="41" t="str">
        <f>SP128!D64</f>
        <v>Spieler 48</v>
      </c>
      <c r="T123" s="42">
        <f>SP128!F64</f>
        <v>0</v>
      </c>
      <c r="U123" s="46">
        <f>IF(SP128!L129="","",SP128!L129)</f>
      </c>
      <c r="V123" s="43" t="str">
        <f>SP128!E129</f>
        <v>Sieger 62</v>
      </c>
      <c r="W123" s="44">
        <f>SP128!G129</f>
        <v>0</v>
      </c>
    </row>
    <row r="124" spans="9:25" ht="13.5" thickBot="1">
      <c r="I124" s="45">
        <f>SP128!C210</f>
        <v>208</v>
      </c>
      <c r="J124" s="41" t="str">
        <f>SP128!D210</f>
        <v>Sieger 176</v>
      </c>
      <c r="K124" s="42">
        <f>SP128!F210</f>
        <v>0</v>
      </c>
      <c r="M124" s="47">
        <f>SP128!C161</f>
        <v>159</v>
      </c>
      <c r="N124" s="41" t="str">
        <f>SP128!D161</f>
        <v>Sieger 95</v>
      </c>
      <c r="O124" s="42">
        <f>SP128!F161</f>
        <v>0</v>
      </c>
      <c r="R124" s="46">
        <f>IF(SP128!L64="","",SP128!L64)</f>
      </c>
      <c r="S124" s="43" t="str">
        <f>SP128!E64</f>
        <v>Spieler 112</v>
      </c>
      <c r="T124" s="44">
        <f>SP128!G64</f>
        <v>0</v>
      </c>
      <c r="W124" s="45">
        <f>SP128!C194</f>
        <v>192</v>
      </c>
      <c r="X124" s="41" t="str">
        <f>SP128!D194</f>
        <v>Sieger 127</v>
      </c>
      <c r="Y124" s="42">
        <f>SP128!F194</f>
        <v>0</v>
      </c>
    </row>
    <row r="125" spans="9:25" ht="13.5" thickBot="1">
      <c r="I125" s="46">
        <f>IF(SP128!L210="","",SP128!L210)</f>
      </c>
      <c r="J125" s="43" t="str">
        <f>SP128!E210</f>
        <v>Verlierer 190</v>
      </c>
      <c r="K125" s="44">
        <f>SP128!G210</f>
        <v>0</v>
      </c>
      <c r="M125" s="46">
        <f>IF(SP128!L161="","",SP128!L161)</f>
      </c>
      <c r="N125" s="43" t="str">
        <f>SP128!E161</f>
        <v>Verlierer 114</v>
      </c>
      <c r="O125" s="44">
        <f>SP128!G161</f>
        <v>0</v>
      </c>
      <c r="R125" s="47">
        <f>SP128!C65</f>
        <v>63</v>
      </c>
      <c r="S125" s="41" t="str">
        <f>SP128!D65</f>
        <v>Spieler 32</v>
      </c>
      <c r="T125" s="42">
        <f>SP128!F65</f>
        <v>0</v>
      </c>
      <c r="W125" s="46">
        <f>IF(SP128!L194="","",SP128!L194)</f>
      </c>
      <c r="X125" s="43" t="str">
        <f>SP128!E194</f>
        <v>Sieger 128</v>
      </c>
      <c r="Y125" s="44">
        <f>SP128!G194</f>
        <v>0</v>
      </c>
    </row>
    <row r="126" spans="11:23" ht="13.5" thickBot="1">
      <c r="K126" s="45">
        <f>SP128!C178</f>
        <v>176</v>
      </c>
      <c r="L126" s="41" t="str">
        <f>SP128!D178</f>
        <v>Sieger 159</v>
      </c>
      <c r="M126" s="42">
        <f>SP128!F178</f>
        <v>0</v>
      </c>
      <c r="O126" s="47">
        <f>SP128!C98</f>
        <v>96</v>
      </c>
      <c r="P126" s="41" t="str">
        <f>SP128!D98</f>
        <v>Verlierer 63</v>
      </c>
      <c r="Q126" s="42">
        <f>SP128!F98</f>
        <v>0</v>
      </c>
      <c r="R126" s="46">
        <f>IF(SP128!L65="","",SP128!L65)</f>
      </c>
      <c r="S126" s="43" t="str">
        <f>SP128!E65</f>
        <v>Spieler 96</v>
      </c>
      <c r="T126" s="44">
        <f>SP128!G65</f>
        <v>0</v>
      </c>
      <c r="U126" s="47">
        <f>SP128!C130</f>
        <v>128</v>
      </c>
      <c r="V126" s="41" t="str">
        <f>SP128!D130</f>
        <v>Sieger 63</v>
      </c>
      <c r="W126" s="42">
        <f>SP128!F130</f>
        <v>0</v>
      </c>
    </row>
    <row r="127" spans="11:23" ht="13.5" thickBot="1">
      <c r="K127" s="46">
        <f>IF(SP128!L178="","",SP128!L178)</f>
      </c>
      <c r="L127" s="43" t="str">
        <f>SP128!E178</f>
        <v>Sieger 160</v>
      </c>
      <c r="M127" s="44">
        <f>SP128!G178</f>
        <v>0</v>
      </c>
      <c r="O127" s="46">
        <f>IF(SP128!L98="","",SP128!L98)</f>
      </c>
      <c r="P127" s="43" t="str">
        <f>SP128!E98</f>
        <v>Verlierer 64</v>
      </c>
      <c r="Q127" s="44">
        <f>SP128!G98</f>
        <v>0</v>
      </c>
      <c r="R127" s="47">
        <f>SP128!C66</f>
        <v>64</v>
      </c>
      <c r="S127" s="41" t="str">
        <f>SP128!D66</f>
        <v>Spieler 64</v>
      </c>
      <c r="T127" s="42">
        <f>SP128!F66</f>
        <v>0</v>
      </c>
      <c r="U127" s="46">
        <f>IF(SP128!L130="","",SP128!L130)</f>
      </c>
      <c r="V127" s="43" t="str">
        <f>SP128!E130</f>
        <v>Sieger 64</v>
      </c>
      <c r="W127" s="44">
        <f>SP128!G130</f>
        <v>0</v>
      </c>
    </row>
    <row r="128" spans="13:20" ht="13.5" thickBot="1">
      <c r="M128" s="45">
        <f>SP128!C162</f>
        <v>160</v>
      </c>
      <c r="N128" s="41" t="str">
        <f>SP128!D162</f>
        <v>Sieger 96</v>
      </c>
      <c r="O128" s="42">
        <f>SP128!F162</f>
        <v>0</v>
      </c>
      <c r="R128" s="46">
        <f>IF(SP128!L66="","",SP128!L66)</f>
      </c>
      <c r="S128" s="43" t="str">
        <f>SP128!E66</f>
        <v>Spieler 128</v>
      </c>
      <c r="T128" s="44">
        <f>SP128!G66</f>
        <v>0</v>
      </c>
    </row>
    <row r="129" spans="13:15" ht="13.5" thickBot="1">
      <c r="M129" s="46">
        <f>IF(SP128!L162="","",SP128!L162)</f>
      </c>
      <c r="N129" s="43" t="str">
        <f>SP128!E162</f>
        <v>Verlierer 113</v>
      </c>
      <c r="O129" s="44">
        <f>SP128!G162</f>
        <v>0</v>
      </c>
    </row>
  </sheetData>
  <sheetProtection sheet="1" objects="1" scenarios="1"/>
  <printOptions/>
  <pageMargins left="0.75" right="0.75" top="1" bottom="1" header="0.4921259845" footer="0.4921259845"/>
  <pageSetup fitToHeight="1" fitToWidth="1" horizontalDpi="300" verticalDpi="3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2:J14"/>
  <sheetViews>
    <sheetView showGridLines="0" showRowColHeaders="0" showZeros="0" showOutlineSymbols="0" zoomScale="150" zoomScaleNormal="150" workbookViewId="0" topLeftCell="A1">
      <selection activeCell="B5" sqref="B5"/>
    </sheetView>
  </sheetViews>
  <sheetFormatPr defaultColWidth="11.421875" defaultRowHeight="12.75"/>
  <cols>
    <col min="1" max="1" width="11.140625" style="0" customWidth="1"/>
    <col min="4" max="4" width="8.7109375" style="0" customWidth="1"/>
    <col min="5" max="5" width="3.421875" style="0" customWidth="1"/>
    <col min="8" max="8" width="8.7109375" style="0" customWidth="1"/>
    <col min="9" max="9" width="13.7109375" style="0" customWidth="1"/>
  </cols>
  <sheetData>
    <row r="1" ht="12" customHeight="1"/>
    <row r="2" spans="2:8" ht="30">
      <c r="B2" s="260">
        <f>IF(Spielereingabe!G2="","",Spielereingabe!G2)</f>
      </c>
      <c r="C2" s="260"/>
      <c r="D2" s="260"/>
      <c r="E2" s="260"/>
      <c r="F2" s="260"/>
      <c r="G2" s="260"/>
      <c r="H2" s="260"/>
    </row>
    <row r="3" spans="2:8" ht="12.75">
      <c r="B3" s="261">
        <f>IF(Spielereingabe!G4="","",Spielereingabe!G4)</f>
      </c>
      <c r="C3" s="262"/>
      <c r="D3" s="262"/>
      <c r="E3" s="262"/>
      <c r="F3" s="262"/>
      <c r="G3" s="262"/>
      <c r="H3" s="262"/>
    </row>
    <row r="4" spans="2:8" ht="15">
      <c r="B4" s="263">
        <f>IF(Spielereingabe!G3="","",Spielereingabe!G3)</f>
      </c>
      <c r="C4" s="263"/>
      <c r="D4" s="263"/>
      <c r="E4" s="263"/>
      <c r="F4" s="263"/>
      <c r="G4" s="263"/>
      <c r="H4" s="263"/>
    </row>
    <row r="5" spans="2:8" ht="15">
      <c r="B5" s="244"/>
      <c r="C5" s="244"/>
      <c r="D5" s="244"/>
      <c r="E5" s="244"/>
      <c r="F5" s="244"/>
      <c r="G5" s="244"/>
      <c r="H5" s="244"/>
    </row>
    <row r="6" spans="2:5" ht="18">
      <c r="B6" s="245"/>
      <c r="C6" s="245"/>
      <c r="D6" s="245"/>
      <c r="E6" s="245"/>
    </row>
    <row r="7" spans="2:10" s="246" customFormat="1" ht="24.75" customHeight="1">
      <c r="B7" s="265" t="s">
        <v>58</v>
      </c>
      <c r="C7" s="266"/>
      <c r="D7" s="247">
        <v>1</v>
      </c>
      <c r="E7" s="248"/>
      <c r="F7" s="265" t="s">
        <v>59</v>
      </c>
      <c r="G7" s="266"/>
      <c r="H7" s="249">
        <f>VLOOKUP($D$7,SP128,10,0)</f>
        <v>0</v>
      </c>
      <c r="I7" s="250"/>
      <c r="J7" s="250"/>
    </row>
    <row r="8" ht="18">
      <c r="C8" s="245"/>
    </row>
    <row r="9" spans="2:8" ht="23.25">
      <c r="B9" s="264" t="str">
        <f>VLOOKUP($D$7,SP128,2,0)</f>
        <v>Spieler 1</v>
      </c>
      <c r="C9" s="264"/>
      <c r="D9" s="264"/>
      <c r="E9" s="251" t="s">
        <v>60</v>
      </c>
      <c r="F9" s="264" t="str">
        <f>VLOOKUP($D$7,SP128,3,0)</f>
        <v>Spieler 65</v>
      </c>
      <c r="G9" s="264"/>
      <c r="H9" s="264"/>
    </row>
    <row r="10" spans="2:8" ht="14.25" customHeight="1">
      <c r="B10" s="259" t="s">
        <v>61</v>
      </c>
      <c r="C10" s="259"/>
      <c r="D10" s="259"/>
      <c r="E10" s="252"/>
      <c r="F10" s="259" t="s">
        <v>62</v>
      </c>
      <c r="G10" s="259"/>
      <c r="H10" s="259"/>
    </row>
    <row r="11" spans="2:8" ht="28.5" customHeight="1">
      <c r="B11" s="268" t="s">
        <v>63</v>
      </c>
      <c r="C11" s="268"/>
      <c r="D11" s="268"/>
      <c r="E11" s="251" t="s">
        <v>60</v>
      </c>
      <c r="F11" s="268" t="s">
        <v>63</v>
      </c>
      <c r="G11" s="268"/>
      <c r="H11" s="268"/>
    </row>
    <row r="12" spans="2:8" ht="14.25" customHeight="1">
      <c r="B12" s="253"/>
      <c r="C12" s="253"/>
      <c r="D12" s="253"/>
      <c r="E12" s="251"/>
      <c r="F12" s="253"/>
      <c r="G12" s="253"/>
      <c r="H12" s="253"/>
    </row>
    <row r="13" spans="1:10" ht="12.75">
      <c r="A13" s="267" t="s">
        <v>64</v>
      </c>
      <c r="B13" s="267"/>
      <c r="C13" s="267"/>
      <c r="D13" s="267"/>
      <c r="E13" s="267"/>
      <c r="F13" s="267"/>
      <c r="G13" s="267"/>
      <c r="H13" s="267"/>
      <c r="I13" s="267"/>
      <c r="J13" s="254"/>
    </row>
    <row r="14" spans="1:9" ht="12.75">
      <c r="A14" s="267"/>
      <c r="B14" s="267"/>
      <c r="C14" s="267"/>
      <c r="D14" s="267"/>
      <c r="E14" s="267"/>
      <c r="F14" s="267"/>
      <c r="G14" s="267"/>
      <c r="H14" s="267"/>
      <c r="I14" s="267"/>
    </row>
  </sheetData>
  <mergeCells count="13">
    <mergeCell ref="A13:I13"/>
    <mergeCell ref="B11:D11"/>
    <mergeCell ref="F11:H11"/>
    <mergeCell ref="A14:I14"/>
    <mergeCell ref="B10:D10"/>
    <mergeCell ref="F10:H10"/>
    <mergeCell ref="B2:H2"/>
    <mergeCell ref="B3:H3"/>
    <mergeCell ref="B4:H4"/>
    <mergeCell ref="B9:D9"/>
    <mergeCell ref="F9:H9"/>
    <mergeCell ref="B7:C7"/>
    <mergeCell ref="F7:G7"/>
  </mergeCells>
  <printOptions horizontalCentered="1" vertic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11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2:N130"/>
  <sheetViews>
    <sheetView showGridLines="0" workbookViewId="0" topLeftCell="A1">
      <selection activeCell="P20" sqref="P20"/>
    </sheetView>
  </sheetViews>
  <sheetFormatPr defaultColWidth="11.421875" defaultRowHeight="12.75"/>
  <cols>
    <col min="1" max="1" width="8.140625" style="2" customWidth="1"/>
    <col min="2" max="3" width="4.7109375" style="2" customWidth="1"/>
    <col min="4" max="4" width="18.8515625" style="2" bestFit="1" customWidth="1"/>
    <col min="5" max="5" width="19.8515625" style="2" bestFit="1" customWidth="1"/>
    <col min="6" max="6" width="9.140625" style="2" customWidth="1"/>
    <col min="7" max="7" width="6.28125" style="2" customWidth="1"/>
    <col min="8" max="8" width="6.8515625" style="2" customWidth="1"/>
    <col min="9" max="9" width="3.7109375" style="2" customWidth="1"/>
    <col min="10" max="10" width="3.57421875" style="2" customWidth="1"/>
    <col min="11" max="11" width="5.00390625" style="2" customWidth="1"/>
    <col min="12" max="12" width="5.28125" style="4" customWidth="1"/>
    <col min="13" max="13" width="8.7109375" style="28" bestFit="1" customWidth="1"/>
    <col min="14" max="14" width="5.8515625" style="28" customWidth="1"/>
    <col min="15" max="15" width="5.57421875" style="2" customWidth="1"/>
    <col min="16" max="16384" width="11.421875" style="2" customWidth="1"/>
  </cols>
  <sheetData>
    <row r="1" ht="13.5" thickBot="1"/>
    <row r="2" spans="3:14" ht="13.5" thickBot="1">
      <c r="C2" s="12" t="s">
        <v>4</v>
      </c>
      <c r="D2" s="14" t="str">
        <f>SP128!W131</f>
        <v>Name, Vorname</v>
      </c>
      <c r="E2" s="13" t="str">
        <f>SP128!X131</f>
        <v>Verein</v>
      </c>
      <c r="F2" s="13" t="str">
        <f>SP128!Y131</f>
        <v>Verein_Nr</v>
      </c>
      <c r="G2" s="13" t="str">
        <f>SP128!Z131</f>
        <v>Lfd_Nr</v>
      </c>
      <c r="H2" s="13" t="str">
        <f>SP128!AA131</f>
        <v>Punkte</v>
      </c>
      <c r="I2" s="13" t="str">
        <f>SP128!AB131</f>
        <v>GP</v>
      </c>
      <c r="J2" s="13" t="str">
        <f>SP128!AC131</f>
        <v>VP</v>
      </c>
      <c r="K2" s="13" t="str">
        <f>SP128!AD131</f>
        <v>GSp</v>
      </c>
      <c r="L2" s="13" t="str">
        <f>SP128!AE131</f>
        <v>VSp</v>
      </c>
      <c r="M2" s="29" t="str">
        <f>SP128!AF131</f>
        <v>Quot</v>
      </c>
      <c r="N2" s="2"/>
    </row>
    <row r="3" spans="3:14" ht="12.75">
      <c r="C3" s="34">
        <v>1</v>
      </c>
      <c r="D3" s="8"/>
      <c r="E3" s="6"/>
      <c r="F3" s="6"/>
      <c r="G3" s="6"/>
      <c r="H3" s="9"/>
      <c r="I3" s="9"/>
      <c r="J3" s="9"/>
      <c r="K3" s="9"/>
      <c r="L3" s="9"/>
      <c r="M3" s="30"/>
      <c r="N3" s="2"/>
    </row>
    <row r="4" spans="3:14" ht="12.75">
      <c r="C4" s="35">
        <v>2</v>
      </c>
      <c r="D4" s="10"/>
      <c r="E4" s="3"/>
      <c r="F4" s="3"/>
      <c r="G4" s="3"/>
      <c r="H4" s="7"/>
      <c r="I4" s="7"/>
      <c r="J4" s="7"/>
      <c r="K4" s="7"/>
      <c r="L4" s="7"/>
      <c r="M4" s="31"/>
      <c r="N4" s="2"/>
    </row>
    <row r="5" spans="3:14" ht="12.75">
      <c r="C5" s="35">
        <v>3</v>
      </c>
      <c r="D5" s="10"/>
      <c r="E5" s="3"/>
      <c r="F5" s="3"/>
      <c r="G5" s="3"/>
      <c r="H5" s="7"/>
      <c r="I5" s="7"/>
      <c r="J5" s="7"/>
      <c r="K5" s="7"/>
      <c r="L5" s="7"/>
      <c r="M5" s="31"/>
      <c r="N5" s="2"/>
    </row>
    <row r="6" spans="3:14" ht="12.75">
      <c r="C6" s="35">
        <v>4</v>
      </c>
      <c r="D6" s="10"/>
      <c r="E6" s="3"/>
      <c r="F6" s="3"/>
      <c r="G6" s="3"/>
      <c r="H6" s="7"/>
      <c r="I6" s="7"/>
      <c r="J6" s="7"/>
      <c r="K6" s="7"/>
      <c r="L6" s="7"/>
      <c r="M6" s="31"/>
      <c r="N6" s="2"/>
    </row>
    <row r="7" spans="3:14" ht="12.75">
      <c r="C7" s="35">
        <v>5</v>
      </c>
      <c r="D7" s="10"/>
      <c r="E7" s="3"/>
      <c r="F7" s="3"/>
      <c r="G7" s="3"/>
      <c r="H7" s="7"/>
      <c r="I7" s="7"/>
      <c r="J7" s="7"/>
      <c r="K7" s="7"/>
      <c r="L7" s="7"/>
      <c r="M7" s="31"/>
      <c r="N7" s="2"/>
    </row>
    <row r="8" spans="3:14" ht="12.75">
      <c r="C8" s="35">
        <v>6</v>
      </c>
      <c r="D8" s="10"/>
      <c r="E8" s="3"/>
      <c r="F8" s="3"/>
      <c r="G8" s="3"/>
      <c r="H8" s="7"/>
      <c r="I8" s="7"/>
      <c r="J8" s="7"/>
      <c r="K8" s="7"/>
      <c r="L8" s="7"/>
      <c r="M8" s="31"/>
      <c r="N8" s="2"/>
    </row>
    <row r="9" spans="3:14" ht="12.75">
      <c r="C9" s="35">
        <v>7</v>
      </c>
      <c r="D9" s="10"/>
      <c r="E9" s="3"/>
      <c r="F9" s="3"/>
      <c r="G9" s="3"/>
      <c r="H9" s="7"/>
      <c r="I9" s="7"/>
      <c r="J9" s="7"/>
      <c r="K9" s="7"/>
      <c r="L9" s="7"/>
      <c r="M9" s="31"/>
      <c r="N9" s="2"/>
    </row>
    <row r="10" spans="3:14" ht="12.75">
      <c r="C10" s="35">
        <v>8</v>
      </c>
      <c r="D10" s="10"/>
      <c r="E10" s="3"/>
      <c r="F10" s="3"/>
      <c r="G10" s="3"/>
      <c r="H10" s="7"/>
      <c r="I10" s="7"/>
      <c r="J10" s="7"/>
      <c r="K10" s="7"/>
      <c r="L10" s="7"/>
      <c r="M10" s="31"/>
      <c r="N10" s="2"/>
    </row>
    <row r="11" spans="3:14" ht="12.75">
      <c r="C11" s="35">
        <v>9</v>
      </c>
      <c r="D11" s="10"/>
      <c r="E11" s="3"/>
      <c r="F11" s="3"/>
      <c r="G11" s="3"/>
      <c r="H11" s="7"/>
      <c r="I11" s="7"/>
      <c r="J11" s="7"/>
      <c r="K11" s="7"/>
      <c r="L11" s="7"/>
      <c r="M11" s="31"/>
      <c r="N11" s="2"/>
    </row>
    <row r="12" spans="3:14" ht="12.75">
      <c r="C12" s="35">
        <v>10</v>
      </c>
      <c r="D12" s="10"/>
      <c r="E12" s="3"/>
      <c r="F12" s="3"/>
      <c r="G12" s="3"/>
      <c r="H12" s="7"/>
      <c r="I12" s="7"/>
      <c r="J12" s="7"/>
      <c r="K12" s="7"/>
      <c r="L12" s="7"/>
      <c r="M12" s="31"/>
      <c r="N12" s="2"/>
    </row>
    <row r="13" spans="3:14" ht="12.75">
      <c r="C13" s="35">
        <v>11</v>
      </c>
      <c r="D13" s="10"/>
      <c r="E13" s="3"/>
      <c r="F13" s="3"/>
      <c r="G13" s="3"/>
      <c r="H13" s="7"/>
      <c r="I13" s="7"/>
      <c r="J13" s="7"/>
      <c r="K13" s="7"/>
      <c r="L13" s="7"/>
      <c r="M13" s="31"/>
      <c r="N13" s="2"/>
    </row>
    <row r="14" spans="3:14" ht="12.75">
      <c r="C14" s="35">
        <v>12</v>
      </c>
      <c r="D14" s="10"/>
      <c r="E14" s="3"/>
      <c r="F14" s="3"/>
      <c r="G14" s="3"/>
      <c r="H14" s="7"/>
      <c r="I14" s="7"/>
      <c r="J14" s="7"/>
      <c r="K14" s="7"/>
      <c r="L14" s="7"/>
      <c r="M14" s="31"/>
      <c r="N14" s="2"/>
    </row>
    <row r="15" spans="3:14" ht="12.75">
      <c r="C15" s="35">
        <v>13</v>
      </c>
      <c r="D15" s="10"/>
      <c r="E15" s="3"/>
      <c r="F15" s="3"/>
      <c r="G15" s="3"/>
      <c r="H15" s="7"/>
      <c r="I15" s="7"/>
      <c r="J15" s="7"/>
      <c r="K15" s="7"/>
      <c r="L15" s="7"/>
      <c r="M15" s="31"/>
      <c r="N15" s="2"/>
    </row>
    <row r="16" spans="3:14" ht="12.75">
      <c r="C16" s="35">
        <v>14</v>
      </c>
      <c r="D16" s="10"/>
      <c r="E16" s="3"/>
      <c r="F16" s="3"/>
      <c r="G16" s="3"/>
      <c r="H16" s="7"/>
      <c r="I16" s="7"/>
      <c r="J16" s="7"/>
      <c r="K16" s="7"/>
      <c r="L16" s="7"/>
      <c r="M16" s="31"/>
      <c r="N16" s="2"/>
    </row>
    <row r="17" spans="3:14" ht="12.75">
      <c r="C17" s="35">
        <v>15</v>
      </c>
      <c r="D17" s="10"/>
      <c r="E17" s="3"/>
      <c r="F17" s="3"/>
      <c r="G17" s="3"/>
      <c r="H17" s="7"/>
      <c r="I17" s="7"/>
      <c r="J17" s="7"/>
      <c r="K17" s="7"/>
      <c r="L17" s="7"/>
      <c r="M17" s="31"/>
      <c r="N17" s="2"/>
    </row>
    <row r="18" spans="3:14" ht="12.75">
      <c r="C18" s="35">
        <v>16</v>
      </c>
      <c r="D18" s="10"/>
      <c r="E18" s="3"/>
      <c r="F18" s="3"/>
      <c r="G18" s="3"/>
      <c r="H18" s="7"/>
      <c r="I18" s="7"/>
      <c r="J18" s="7"/>
      <c r="K18" s="7"/>
      <c r="L18" s="7"/>
      <c r="M18" s="31"/>
      <c r="N18" s="2"/>
    </row>
    <row r="19" spans="3:14" ht="12.75">
      <c r="C19" s="35">
        <v>17</v>
      </c>
      <c r="D19" s="10"/>
      <c r="E19" s="3"/>
      <c r="F19" s="3"/>
      <c r="G19" s="3"/>
      <c r="H19" s="7"/>
      <c r="I19" s="7"/>
      <c r="J19" s="7"/>
      <c r="K19" s="7"/>
      <c r="L19" s="7"/>
      <c r="M19" s="31"/>
      <c r="N19" s="2"/>
    </row>
    <row r="20" spans="3:14" ht="12.75">
      <c r="C20" s="35">
        <v>18</v>
      </c>
      <c r="D20" s="10"/>
      <c r="E20" s="3"/>
      <c r="F20" s="3"/>
      <c r="G20" s="3"/>
      <c r="H20" s="7"/>
      <c r="I20" s="7"/>
      <c r="J20" s="7"/>
      <c r="K20" s="7"/>
      <c r="L20" s="7"/>
      <c r="M20" s="31"/>
      <c r="N20" s="2"/>
    </row>
    <row r="21" spans="3:14" ht="12.75">
      <c r="C21" s="35">
        <v>19</v>
      </c>
      <c r="D21" s="10"/>
      <c r="E21" s="3"/>
      <c r="F21" s="3"/>
      <c r="G21" s="3"/>
      <c r="H21" s="7"/>
      <c r="I21" s="7"/>
      <c r="J21" s="7"/>
      <c r="K21" s="7"/>
      <c r="L21" s="7"/>
      <c r="M21" s="31"/>
      <c r="N21" s="2"/>
    </row>
    <row r="22" spans="3:14" ht="12.75">
      <c r="C22" s="35">
        <v>20</v>
      </c>
      <c r="D22" s="10"/>
      <c r="E22" s="3"/>
      <c r="F22" s="3"/>
      <c r="G22" s="3"/>
      <c r="H22" s="7"/>
      <c r="I22" s="7"/>
      <c r="J22" s="7"/>
      <c r="K22" s="7"/>
      <c r="L22" s="7"/>
      <c r="M22" s="31"/>
      <c r="N22" s="2"/>
    </row>
    <row r="23" spans="3:14" ht="12.75">
      <c r="C23" s="35">
        <v>21</v>
      </c>
      <c r="D23" s="10"/>
      <c r="E23" s="3"/>
      <c r="F23" s="3"/>
      <c r="G23" s="3"/>
      <c r="H23" s="7"/>
      <c r="I23" s="7"/>
      <c r="J23" s="7"/>
      <c r="K23" s="7"/>
      <c r="L23" s="7"/>
      <c r="M23" s="31"/>
      <c r="N23" s="2"/>
    </row>
    <row r="24" spans="3:14" ht="12.75">
      <c r="C24" s="35">
        <v>22</v>
      </c>
      <c r="D24" s="10"/>
      <c r="E24" s="3"/>
      <c r="F24" s="3"/>
      <c r="G24" s="3"/>
      <c r="H24" s="7"/>
      <c r="I24" s="7"/>
      <c r="J24" s="7"/>
      <c r="K24" s="7"/>
      <c r="L24" s="7"/>
      <c r="M24" s="31"/>
      <c r="N24" s="2"/>
    </row>
    <row r="25" spans="3:14" ht="12.75">
      <c r="C25" s="35">
        <v>23</v>
      </c>
      <c r="D25" s="10"/>
      <c r="E25" s="3"/>
      <c r="F25" s="3"/>
      <c r="G25" s="3"/>
      <c r="H25" s="7"/>
      <c r="I25" s="7"/>
      <c r="J25" s="7"/>
      <c r="K25" s="7"/>
      <c r="L25" s="7"/>
      <c r="M25" s="31"/>
      <c r="N25" s="2"/>
    </row>
    <row r="26" spans="3:14" ht="12.75">
      <c r="C26" s="35">
        <v>24</v>
      </c>
      <c r="D26" s="10"/>
      <c r="E26" s="3"/>
      <c r="F26" s="3"/>
      <c r="G26" s="3"/>
      <c r="H26" s="7"/>
      <c r="I26" s="7"/>
      <c r="J26" s="7"/>
      <c r="K26" s="7"/>
      <c r="L26" s="7"/>
      <c r="M26" s="31"/>
      <c r="N26" s="2"/>
    </row>
    <row r="27" spans="3:14" ht="12.75">
      <c r="C27" s="35">
        <v>25</v>
      </c>
      <c r="D27" s="10"/>
      <c r="E27" s="3"/>
      <c r="F27" s="3"/>
      <c r="G27" s="3"/>
      <c r="H27" s="7"/>
      <c r="I27" s="7"/>
      <c r="J27" s="7"/>
      <c r="K27" s="7"/>
      <c r="L27" s="7"/>
      <c r="M27" s="31"/>
      <c r="N27" s="2"/>
    </row>
    <row r="28" spans="3:14" ht="12.75">
      <c r="C28" s="35">
        <v>26</v>
      </c>
      <c r="D28" s="10"/>
      <c r="E28" s="3"/>
      <c r="F28" s="3"/>
      <c r="G28" s="3"/>
      <c r="H28" s="7"/>
      <c r="I28" s="7"/>
      <c r="J28" s="7"/>
      <c r="K28" s="7"/>
      <c r="L28" s="7"/>
      <c r="M28" s="31"/>
      <c r="N28" s="2"/>
    </row>
    <row r="29" spans="3:14" ht="12.75">
      <c r="C29" s="35">
        <v>27</v>
      </c>
      <c r="D29" s="10"/>
      <c r="E29" s="3"/>
      <c r="F29" s="3"/>
      <c r="G29" s="3"/>
      <c r="H29" s="7"/>
      <c r="I29" s="7"/>
      <c r="J29" s="7"/>
      <c r="K29" s="7"/>
      <c r="L29" s="7"/>
      <c r="M29" s="31"/>
      <c r="N29" s="2"/>
    </row>
    <row r="30" spans="3:14" ht="12.75">
      <c r="C30" s="35">
        <v>28</v>
      </c>
      <c r="D30" s="10"/>
      <c r="E30" s="3"/>
      <c r="F30" s="3"/>
      <c r="G30" s="3"/>
      <c r="H30" s="7"/>
      <c r="I30" s="7"/>
      <c r="J30" s="7"/>
      <c r="K30" s="7"/>
      <c r="L30" s="7"/>
      <c r="M30" s="31"/>
      <c r="N30" s="2"/>
    </row>
    <row r="31" spans="3:14" ht="12.75">
      <c r="C31" s="35">
        <v>29</v>
      </c>
      <c r="D31" s="10"/>
      <c r="E31" s="3"/>
      <c r="F31" s="3"/>
      <c r="G31" s="3"/>
      <c r="H31" s="7"/>
      <c r="I31" s="7"/>
      <c r="J31" s="7"/>
      <c r="K31" s="7"/>
      <c r="L31" s="7"/>
      <c r="M31" s="31"/>
      <c r="N31" s="2"/>
    </row>
    <row r="32" spans="3:14" ht="12.75">
      <c r="C32" s="35">
        <v>30</v>
      </c>
      <c r="D32" s="10"/>
      <c r="E32" s="3"/>
      <c r="F32" s="3"/>
      <c r="G32" s="3"/>
      <c r="H32" s="7"/>
      <c r="I32" s="7"/>
      <c r="J32" s="7"/>
      <c r="K32" s="7"/>
      <c r="L32" s="7"/>
      <c r="M32" s="31"/>
      <c r="N32" s="2"/>
    </row>
    <row r="33" spans="3:14" ht="12.75">
      <c r="C33" s="35">
        <v>31</v>
      </c>
      <c r="D33" s="10"/>
      <c r="E33" s="3"/>
      <c r="F33" s="3"/>
      <c r="G33" s="3"/>
      <c r="H33" s="7"/>
      <c r="I33" s="7"/>
      <c r="J33" s="7"/>
      <c r="K33" s="7"/>
      <c r="L33" s="7"/>
      <c r="M33" s="31"/>
      <c r="N33" s="2"/>
    </row>
    <row r="34" spans="3:14" ht="12.75">
      <c r="C34" s="35">
        <v>32</v>
      </c>
      <c r="D34" s="10"/>
      <c r="E34" s="3"/>
      <c r="F34" s="3"/>
      <c r="G34" s="3"/>
      <c r="H34" s="7"/>
      <c r="I34" s="7"/>
      <c r="J34" s="7"/>
      <c r="K34" s="7"/>
      <c r="L34" s="7"/>
      <c r="M34" s="31"/>
      <c r="N34" s="2"/>
    </row>
    <row r="35" spans="2:14" ht="12.75">
      <c r="B35" s="2">
        <f>IF(Spielereingabe!F41="","",33)</f>
      </c>
      <c r="C35" s="35">
        <v>33</v>
      </c>
      <c r="D35" s="10"/>
      <c r="E35" s="3"/>
      <c r="F35" s="3"/>
      <c r="G35" s="3"/>
      <c r="H35" s="3"/>
      <c r="I35" s="3"/>
      <c r="J35" s="3"/>
      <c r="K35" s="3"/>
      <c r="L35" s="7"/>
      <c r="M35" s="31"/>
      <c r="N35" s="2"/>
    </row>
    <row r="36" spans="2:14" ht="12.75">
      <c r="B36" s="2">
        <f>IF(Spielereingabe!F42="","",34)</f>
      </c>
      <c r="C36" s="35">
        <v>34</v>
      </c>
      <c r="D36" s="10"/>
      <c r="E36" s="3"/>
      <c r="F36" s="3"/>
      <c r="G36" s="3"/>
      <c r="H36" s="3"/>
      <c r="I36" s="3"/>
      <c r="J36" s="3"/>
      <c r="K36" s="3"/>
      <c r="L36" s="7"/>
      <c r="M36" s="31"/>
      <c r="N36" s="2"/>
    </row>
    <row r="37" spans="3:14" ht="12.75">
      <c r="C37" s="35">
        <v>35</v>
      </c>
      <c r="D37" s="10"/>
      <c r="E37" s="3"/>
      <c r="F37" s="3"/>
      <c r="G37" s="3"/>
      <c r="H37" s="3"/>
      <c r="I37" s="3"/>
      <c r="J37" s="3"/>
      <c r="K37" s="3"/>
      <c r="L37" s="7"/>
      <c r="M37" s="31"/>
      <c r="N37" s="2"/>
    </row>
    <row r="38" spans="3:14" ht="12.75">
      <c r="C38" s="35">
        <v>36</v>
      </c>
      <c r="D38" s="10"/>
      <c r="E38" s="3"/>
      <c r="F38" s="3"/>
      <c r="G38" s="3"/>
      <c r="H38" s="3"/>
      <c r="I38" s="3"/>
      <c r="J38" s="3"/>
      <c r="K38" s="3"/>
      <c r="L38" s="7"/>
      <c r="M38" s="31"/>
      <c r="N38" s="2"/>
    </row>
    <row r="39" spans="3:14" ht="12.75">
      <c r="C39" s="35">
        <v>37</v>
      </c>
      <c r="D39" s="10"/>
      <c r="E39" s="3"/>
      <c r="F39" s="3"/>
      <c r="G39" s="3"/>
      <c r="H39" s="3"/>
      <c r="I39" s="3"/>
      <c r="J39" s="3"/>
      <c r="K39" s="3"/>
      <c r="L39" s="7"/>
      <c r="M39" s="31"/>
      <c r="N39" s="2"/>
    </row>
    <row r="40" spans="3:14" ht="12.75">
      <c r="C40" s="35">
        <v>38</v>
      </c>
      <c r="D40" s="10"/>
      <c r="E40" s="3"/>
      <c r="F40" s="3"/>
      <c r="G40" s="3"/>
      <c r="H40" s="3"/>
      <c r="I40" s="3"/>
      <c r="J40" s="3"/>
      <c r="K40" s="3"/>
      <c r="L40" s="7"/>
      <c r="M40" s="31"/>
      <c r="N40" s="2"/>
    </row>
    <row r="41" spans="2:14" ht="12.75">
      <c r="B41" s="2">
        <f>IF(Spielereingabe!F47="","",39)</f>
      </c>
      <c r="C41" s="35">
        <v>39</v>
      </c>
      <c r="D41" s="10"/>
      <c r="E41" s="3"/>
      <c r="F41" s="3"/>
      <c r="G41" s="3"/>
      <c r="H41" s="3"/>
      <c r="I41" s="3"/>
      <c r="J41" s="3"/>
      <c r="K41" s="3"/>
      <c r="L41" s="7"/>
      <c r="M41" s="31"/>
      <c r="N41" s="2"/>
    </row>
    <row r="42" spans="2:14" ht="12.75">
      <c r="B42" s="2">
        <f>IF(Spielereingabe!F48="","",40)</f>
      </c>
      <c r="C42" s="35">
        <v>40</v>
      </c>
      <c r="D42" s="10"/>
      <c r="E42" s="3"/>
      <c r="F42" s="3"/>
      <c r="G42" s="3"/>
      <c r="H42" s="3"/>
      <c r="I42" s="3"/>
      <c r="J42" s="3"/>
      <c r="K42" s="3"/>
      <c r="L42" s="7"/>
      <c r="M42" s="31"/>
      <c r="N42" s="2"/>
    </row>
    <row r="43" spans="2:14" ht="12.75">
      <c r="B43" s="2">
        <f>IF(Spielereingabe!F49="","",41)</f>
      </c>
      <c r="C43" s="35">
        <v>41</v>
      </c>
      <c r="D43" s="10"/>
      <c r="E43" s="3"/>
      <c r="F43" s="3"/>
      <c r="G43" s="3"/>
      <c r="H43" s="3"/>
      <c r="I43" s="3"/>
      <c r="J43" s="3"/>
      <c r="K43" s="3"/>
      <c r="L43" s="7"/>
      <c r="M43" s="31"/>
      <c r="N43" s="2"/>
    </row>
    <row r="44" spans="2:14" ht="12.75">
      <c r="B44" s="2">
        <f>IF(Spielereingabe!F50="","",42)</f>
      </c>
      <c r="C44" s="35">
        <v>42</v>
      </c>
      <c r="D44" s="10"/>
      <c r="E44" s="3"/>
      <c r="F44" s="3"/>
      <c r="G44" s="3"/>
      <c r="H44" s="3"/>
      <c r="I44" s="3"/>
      <c r="J44" s="3"/>
      <c r="K44" s="3"/>
      <c r="L44" s="7"/>
      <c r="M44" s="31"/>
      <c r="N44" s="2"/>
    </row>
    <row r="45" spans="2:14" ht="12.75">
      <c r="B45" s="2">
        <f>IF(Spielereingabe!F51="","",43)</f>
      </c>
      <c r="C45" s="35">
        <v>43</v>
      </c>
      <c r="D45" s="10"/>
      <c r="E45" s="3"/>
      <c r="F45" s="3"/>
      <c r="G45" s="3"/>
      <c r="H45" s="3"/>
      <c r="I45" s="3"/>
      <c r="J45" s="3"/>
      <c r="K45" s="3"/>
      <c r="L45" s="7"/>
      <c r="M45" s="31"/>
      <c r="N45" s="2"/>
    </row>
    <row r="46" spans="2:14" ht="12.75">
      <c r="B46" s="2">
        <f>IF(Spielereingabe!F52="","",44)</f>
      </c>
      <c r="C46" s="35">
        <v>44</v>
      </c>
      <c r="D46" s="10"/>
      <c r="E46" s="3"/>
      <c r="F46" s="3"/>
      <c r="G46" s="3"/>
      <c r="H46" s="3"/>
      <c r="I46" s="3"/>
      <c r="J46" s="3"/>
      <c r="K46" s="3"/>
      <c r="L46" s="7"/>
      <c r="M46" s="31"/>
      <c r="N46" s="2"/>
    </row>
    <row r="47" spans="2:14" ht="12.75">
      <c r="B47" s="2">
        <f>IF(Spielereingabe!F53="","",45)</f>
      </c>
      <c r="C47" s="35">
        <v>45</v>
      </c>
      <c r="D47" s="10"/>
      <c r="E47" s="3"/>
      <c r="F47" s="3"/>
      <c r="G47" s="3"/>
      <c r="H47" s="3"/>
      <c r="I47" s="3"/>
      <c r="J47" s="3"/>
      <c r="K47" s="3"/>
      <c r="L47" s="7"/>
      <c r="M47" s="31"/>
      <c r="N47" s="2"/>
    </row>
    <row r="48" spans="2:14" ht="12.75">
      <c r="B48" s="2">
        <f>IF(Spielereingabe!F54="","",46)</f>
      </c>
      <c r="C48" s="35">
        <v>46</v>
      </c>
      <c r="D48" s="10"/>
      <c r="E48" s="3"/>
      <c r="F48" s="3"/>
      <c r="G48" s="3"/>
      <c r="H48" s="3"/>
      <c r="I48" s="3"/>
      <c r="J48" s="3"/>
      <c r="K48" s="3"/>
      <c r="L48" s="7"/>
      <c r="M48" s="31"/>
      <c r="N48" s="2"/>
    </row>
    <row r="49" spans="2:14" ht="12.75">
      <c r="B49" s="2">
        <f>IF(Spielereingabe!F55="","",47)</f>
      </c>
      <c r="C49" s="35">
        <v>47</v>
      </c>
      <c r="D49" s="10"/>
      <c r="E49" s="3"/>
      <c r="F49" s="3"/>
      <c r="G49" s="3"/>
      <c r="H49" s="3"/>
      <c r="I49" s="3"/>
      <c r="J49" s="3"/>
      <c r="K49" s="3"/>
      <c r="L49" s="7"/>
      <c r="M49" s="31"/>
      <c r="N49" s="2"/>
    </row>
    <row r="50" spans="2:14" ht="12.75">
      <c r="B50" s="2">
        <f>IF(Spielereingabe!F56="","",48)</f>
      </c>
      <c r="C50" s="35">
        <v>48</v>
      </c>
      <c r="D50" s="10"/>
      <c r="E50" s="3"/>
      <c r="F50" s="3"/>
      <c r="G50" s="3"/>
      <c r="H50" s="3"/>
      <c r="I50" s="3"/>
      <c r="J50" s="3"/>
      <c r="K50" s="3"/>
      <c r="L50" s="7"/>
      <c r="M50" s="31"/>
      <c r="N50" s="2"/>
    </row>
    <row r="51" spans="2:14" ht="12.75">
      <c r="B51" s="2">
        <f>IF(Spielereingabe!F57="","",49)</f>
      </c>
      <c r="C51" s="35">
        <v>49</v>
      </c>
      <c r="D51" s="10"/>
      <c r="E51" s="3"/>
      <c r="F51" s="3"/>
      <c r="G51" s="3"/>
      <c r="H51" s="3"/>
      <c r="I51" s="3"/>
      <c r="J51" s="3"/>
      <c r="K51" s="3"/>
      <c r="L51" s="7"/>
      <c r="M51" s="31"/>
      <c r="N51" s="2"/>
    </row>
    <row r="52" spans="2:14" ht="12.75">
      <c r="B52" s="2">
        <f>IF(Spielereingabe!F58="","",50)</f>
      </c>
      <c r="C52" s="35">
        <v>50</v>
      </c>
      <c r="D52" s="10"/>
      <c r="E52" s="3"/>
      <c r="F52" s="3"/>
      <c r="G52" s="3"/>
      <c r="H52" s="3"/>
      <c r="I52" s="3"/>
      <c r="J52" s="3"/>
      <c r="K52" s="3"/>
      <c r="L52" s="7"/>
      <c r="M52" s="31"/>
      <c r="N52" s="2"/>
    </row>
    <row r="53" spans="2:14" ht="12.75">
      <c r="B53" s="2">
        <f>IF(Spielereingabe!F59="","",51)</f>
      </c>
      <c r="C53" s="35">
        <v>51</v>
      </c>
      <c r="D53" s="10"/>
      <c r="E53" s="3"/>
      <c r="F53" s="3"/>
      <c r="G53" s="3"/>
      <c r="H53" s="3"/>
      <c r="I53" s="3"/>
      <c r="J53" s="3"/>
      <c r="K53" s="3"/>
      <c r="L53" s="7"/>
      <c r="M53" s="31"/>
      <c r="N53" s="2"/>
    </row>
    <row r="54" spans="2:14" ht="12.75">
      <c r="B54" s="2">
        <f>IF(Spielereingabe!F60="","",52)</f>
      </c>
      <c r="C54" s="35">
        <v>52</v>
      </c>
      <c r="D54" s="10"/>
      <c r="E54" s="3"/>
      <c r="F54" s="3"/>
      <c r="G54" s="3"/>
      <c r="H54" s="3"/>
      <c r="I54" s="3"/>
      <c r="J54" s="3"/>
      <c r="K54" s="3"/>
      <c r="L54" s="7"/>
      <c r="M54" s="31"/>
      <c r="N54" s="2"/>
    </row>
    <row r="55" spans="2:14" ht="12.75">
      <c r="B55" s="2">
        <f>IF(Spielereingabe!F61="","",53)</f>
      </c>
      <c r="C55" s="35">
        <v>53</v>
      </c>
      <c r="D55" s="10"/>
      <c r="E55" s="3"/>
      <c r="F55" s="3"/>
      <c r="G55" s="3"/>
      <c r="H55" s="3"/>
      <c r="I55" s="3"/>
      <c r="J55" s="3"/>
      <c r="K55" s="3"/>
      <c r="L55" s="7"/>
      <c r="M55" s="31"/>
      <c r="N55" s="2"/>
    </row>
    <row r="56" spans="2:14" ht="12.75">
      <c r="B56" s="2">
        <f>IF(Spielereingabe!F62="","",54)</f>
      </c>
      <c r="C56" s="35">
        <v>54</v>
      </c>
      <c r="D56" s="10"/>
      <c r="E56" s="3"/>
      <c r="F56" s="3"/>
      <c r="G56" s="3"/>
      <c r="H56" s="3"/>
      <c r="I56" s="3"/>
      <c r="J56" s="3"/>
      <c r="K56" s="3"/>
      <c r="L56" s="7"/>
      <c r="M56" s="31"/>
      <c r="N56" s="2"/>
    </row>
    <row r="57" spans="2:14" ht="12.75">
      <c r="B57" s="2">
        <f>IF(Spielereingabe!F63="","",55)</f>
      </c>
      <c r="C57" s="35">
        <v>55</v>
      </c>
      <c r="D57" s="10"/>
      <c r="E57" s="3"/>
      <c r="F57" s="3"/>
      <c r="G57" s="3"/>
      <c r="H57" s="3"/>
      <c r="I57" s="3"/>
      <c r="J57" s="3"/>
      <c r="K57" s="3"/>
      <c r="L57" s="7"/>
      <c r="M57" s="31"/>
      <c r="N57" s="2"/>
    </row>
    <row r="58" spans="2:14" ht="12.75">
      <c r="B58" s="2">
        <f>IF(Spielereingabe!F64="","",56)</f>
      </c>
      <c r="C58" s="35">
        <v>56</v>
      </c>
      <c r="D58" s="10"/>
      <c r="E58" s="3"/>
      <c r="F58" s="3"/>
      <c r="G58" s="3"/>
      <c r="H58" s="3"/>
      <c r="I58" s="3"/>
      <c r="J58" s="3"/>
      <c r="K58" s="3"/>
      <c r="L58" s="7"/>
      <c r="M58" s="31"/>
      <c r="N58" s="2"/>
    </row>
    <row r="59" spans="2:14" ht="12.75">
      <c r="B59" s="2">
        <f>IF(Spielereingabe!F65="","",57)</f>
      </c>
      <c r="C59" s="35">
        <v>57</v>
      </c>
      <c r="D59" s="10"/>
      <c r="E59" s="3"/>
      <c r="F59" s="3"/>
      <c r="G59" s="3"/>
      <c r="H59" s="3"/>
      <c r="I59" s="3"/>
      <c r="J59" s="3"/>
      <c r="K59" s="3"/>
      <c r="L59" s="7"/>
      <c r="M59" s="31"/>
      <c r="N59" s="2"/>
    </row>
    <row r="60" spans="2:14" ht="12.75">
      <c r="B60" s="2">
        <f>IF(Spielereingabe!F66="","",58)</f>
      </c>
      <c r="C60" s="35">
        <v>58</v>
      </c>
      <c r="D60" s="10"/>
      <c r="E60" s="3"/>
      <c r="F60" s="3"/>
      <c r="G60" s="3"/>
      <c r="H60" s="3"/>
      <c r="I60" s="3"/>
      <c r="J60" s="3"/>
      <c r="K60" s="3"/>
      <c r="L60" s="7"/>
      <c r="M60" s="31"/>
      <c r="N60" s="2"/>
    </row>
    <row r="61" spans="2:14" ht="12.75">
      <c r="B61" s="2">
        <f>IF(Spielereingabe!F67="","",59)</f>
      </c>
      <c r="C61" s="35">
        <v>59</v>
      </c>
      <c r="D61" s="10"/>
      <c r="E61" s="3"/>
      <c r="F61" s="3"/>
      <c r="G61" s="3"/>
      <c r="H61" s="3"/>
      <c r="I61" s="3"/>
      <c r="J61" s="3"/>
      <c r="K61" s="3"/>
      <c r="L61" s="7"/>
      <c r="M61" s="31"/>
      <c r="N61" s="2"/>
    </row>
    <row r="62" spans="2:14" ht="12.75">
      <c r="B62" s="2">
        <f>IF(Spielereingabe!F68="","",60)</f>
      </c>
      <c r="C62" s="35">
        <v>60</v>
      </c>
      <c r="D62" s="10"/>
      <c r="E62" s="3"/>
      <c r="F62" s="3"/>
      <c r="G62" s="3"/>
      <c r="H62" s="3"/>
      <c r="I62" s="3"/>
      <c r="J62" s="3"/>
      <c r="K62" s="3"/>
      <c r="L62" s="7"/>
      <c r="M62" s="31"/>
      <c r="N62" s="2"/>
    </row>
    <row r="63" spans="2:14" ht="12.75">
      <c r="B63" s="2">
        <f>IF(Spielereingabe!F69="","",61)</f>
      </c>
      <c r="C63" s="35">
        <v>61</v>
      </c>
      <c r="D63" s="10"/>
      <c r="E63" s="3"/>
      <c r="F63" s="3"/>
      <c r="G63" s="3"/>
      <c r="H63" s="3"/>
      <c r="I63" s="3"/>
      <c r="J63" s="3"/>
      <c r="K63" s="3"/>
      <c r="L63" s="7"/>
      <c r="M63" s="31"/>
      <c r="N63" s="2"/>
    </row>
    <row r="64" spans="2:14" ht="12.75">
      <c r="B64" s="2">
        <f>IF(Spielereingabe!F70="","",62)</f>
      </c>
      <c r="C64" s="35">
        <v>62</v>
      </c>
      <c r="D64" s="10"/>
      <c r="E64" s="3"/>
      <c r="F64" s="3"/>
      <c r="G64" s="3"/>
      <c r="H64" s="3"/>
      <c r="I64" s="3"/>
      <c r="J64" s="3"/>
      <c r="K64" s="3"/>
      <c r="L64" s="7"/>
      <c r="M64" s="31"/>
      <c r="N64" s="2"/>
    </row>
    <row r="65" spans="2:14" ht="12.75">
      <c r="B65" s="2">
        <f>IF(Spielereingabe!F71="","",63)</f>
      </c>
      <c r="C65" s="35">
        <v>63</v>
      </c>
      <c r="D65" s="10"/>
      <c r="E65" s="3"/>
      <c r="F65" s="3"/>
      <c r="G65" s="3"/>
      <c r="H65" s="3"/>
      <c r="I65" s="3"/>
      <c r="J65" s="3"/>
      <c r="K65" s="3"/>
      <c r="L65" s="7"/>
      <c r="M65" s="31"/>
      <c r="N65" s="2"/>
    </row>
    <row r="66" spans="2:14" ht="12.75">
      <c r="B66" s="2">
        <f>IF(Spielereingabe!F72="","",64)</f>
      </c>
      <c r="C66" s="35">
        <v>64</v>
      </c>
      <c r="D66" s="10"/>
      <c r="E66" s="3"/>
      <c r="F66" s="3"/>
      <c r="G66" s="3"/>
      <c r="H66" s="3"/>
      <c r="I66" s="3"/>
      <c r="J66" s="3"/>
      <c r="K66" s="3"/>
      <c r="L66" s="7"/>
      <c r="M66" s="31"/>
      <c r="N66" s="2"/>
    </row>
    <row r="67" spans="3:13" ht="12.75">
      <c r="C67" s="35">
        <v>65</v>
      </c>
      <c r="D67" s="10"/>
      <c r="E67" s="3"/>
      <c r="F67" s="3"/>
      <c r="G67" s="3"/>
      <c r="H67" s="7"/>
      <c r="I67" s="7"/>
      <c r="J67" s="7"/>
      <c r="K67" s="7"/>
      <c r="L67" s="7"/>
      <c r="M67" s="31"/>
    </row>
    <row r="68" spans="3:13" ht="12.75">
      <c r="C68" s="35">
        <v>66</v>
      </c>
      <c r="D68" s="10"/>
      <c r="E68" s="3"/>
      <c r="F68" s="3"/>
      <c r="G68" s="3"/>
      <c r="H68" s="7"/>
      <c r="I68" s="7"/>
      <c r="J68" s="7"/>
      <c r="K68" s="7"/>
      <c r="L68" s="7"/>
      <c r="M68" s="31"/>
    </row>
    <row r="69" spans="3:13" ht="12.75">
      <c r="C69" s="35">
        <v>67</v>
      </c>
      <c r="D69" s="10"/>
      <c r="E69" s="3"/>
      <c r="F69" s="3"/>
      <c r="G69" s="3"/>
      <c r="H69" s="7"/>
      <c r="I69" s="7"/>
      <c r="J69" s="7"/>
      <c r="K69" s="7"/>
      <c r="L69" s="7"/>
      <c r="M69" s="31"/>
    </row>
    <row r="70" spans="3:13" ht="12.75">
      <c r="C70" s="35">
        <v>68</v>
      </c>
      <c r="D70" s="10"/>
      <c r="E70" s="3"/>
      <c r="F70" s="3"/>
      <c r="G70" s="3"/>
      <c r="H70" s="7"/>
      <c r="I70" s="7"/>
      <c r="J70" s="7"/>
      <c r="K70" s="7"/>
      <c r="L70" s="7"/>
      <c r="M70" s="31"/>
    </row>
    <row r="71" spans="3:13" ht="12.75">
      <c r="C71" s="35">
        <v>69</v>
      </c>
      <c r="D71" s="10"/>
      <c r="E71" s="3"/>
      <c r="F71" s="3"/>
      <c r="G71" s="3"/>
      <c r="H71" s="7"/>
      <c r="I71" s="7"/>
      <c r="J71" s="7"/>
      <c r="K71" s="7"/>
      <c r="L71" s="7"/>
      <c r="M71" s="31"/>
    </row>
    <row r="72" spans="3:13" ht="12.75">
      <c r="C72" s="35">
        <v>70</v>
      </c>
      <c r="D72" s="10"/>
      <c r="E72" s="3"/>
      <c r="F72" s="3"/>
      <c r="G72" s="3"/>
      <c r="H72" s="7"/>
      <c r="I72" s="7"/>
      <c r="J72" s="7"/>
      <c r="K72" s="7"/>
      <c r="L72" s="7"/>
      <c r="M72" s="31"/>
    </row>
    <row r="73" spans="3:13" ht="12.75">
      <c r="C73" s="35">
        <v>71</v>
      </c>
      <c r="D73" s="10"/>
      <c r="E73" s="3"/>
      <c r="F73" s="3"/>
      <c r="G73" s="3"/>
      <c r="H73" s="7"/>
      <c r="I73" s="7"/>
      <c r="J73" s="7"/>
      <c r="K73" s="7"/>
      <c r="L73" s="7"/>
      <c r="M73" s="31"/>
    </row>
    <row r="74" spans="3:13" ht="12.75">
      <c r="C74" s="35">
        <v>72</v>
      </c>
      <c r="D74" s="10"/>
      <c r="E74" s="3"/>
      <c r="F74" s="3"/>
      <c r="G74" s="3"/>
      <c r="H74" s="7"/>
      <c r="I74" s="7"/>
      <c r="J74" s="7"/>
      <c r="K74" s="7"/>
      <c r="L74" s="7"/>
      <c r="M74" s="31"/>
    </row>
    <row r="75" spans="3:13" ht="12.75">
      <c r="C75" s="35">
        <v>73</v>
      </c>
      <c r="D75" s="10"/>
      <c r="E75" s="3"/>
      <c r="F75" s="3"/>
      <c r="G75" s="3"/>
      <c r="H75" s="7"/>
      <c r="I75" s="7"/>
      <c r="J75" s="7"/>
      <c r="K75" s="7"/>
      <c r="L75" s="7"/>
      <c r="M75" s="31"/>
    </row>
    <row r="76" spans="3:13" ht="12.75">
      <c r="C76" s="35">
        <v>74</v>
      </c>
      <c r="D76" s="10"/>
      <c r="E76" s="3"/>
      <c r="F76" s="3"/>
      <c r="G76" s="3"/>
      <c r="H76" s="7"/>
      <c r="I76" s="7"/>
      <c r="J76" s="7"/>
      <c r="K76" s="7"/>
      <c r="L76" s="7"/>
      <c r="M76" s="31"/>
    </row>
    <row r="77" spans="3:13" ht="12.75">
      <c r="C77" s="35">
        <v>75</v>
      </c>
      <c r="D77" s="10"/>
      <c r="E77" s="3"/>
      <c r="F77" s="3"/>
      <c r="G77" s="3"/>
      <c r="H77" s="7"/>
      <c r="I77" s="7"/>
      <c r="J77" s="7"/>
      <c r="K77" s="7"/>
      <c r="L77" s="7"/>
      <c r="M77" s="31"/>
    </row>
    <row r="78" spans="3:13" ht="12.75">
      <c r="C78" s="35">
        <v>76</v>
      </c>
      <c r="D78" s="10"/>
      <c r="E78" s="3"/>
      <c r="F78" s="3"/>
      <c r="G78" s="3"/>
      <c r="H78" s="7"/>
      <c r="I78" s="7"/>
      <c r="J78" s="7"/>
      <c r="K78" s="7"/>
      <c r="L78" s="7"/>
      <c r="M78" s="31"/>
    </row>
    <row r="79" spans="3:13" ht="12.75">
      <c r="C79" s="35">
        <v>77</v>
      </c>
      <c r="D79" s="10"/>
      <c r="E79" s="3"/>
      <c r="F79" s="3"/>
      <c r="G79" s="3"/>
      <c r="H79" s="7"/>
      <c r="I79" s="7"/>
      <c r="J79" s="7"/>
      <c r="K79" s="7"/>
      <c r="L79" s="7"/>
      <c r="M79" s="31"/>
    </row>
    <row r="80" spans="3:13" ht="12.75">
      <c r="C80" s="35">
        <v>78</v>
      </c>
      <c r="D80" s="10"/>
      <c r="E80" s="3"/>
      <c r="F80" s="3"/>
      <c r="G80" s="3"/>
      <c r="H80" s="7"/>
      <c r="I80" s="7"/>
      <c r="J80" s="7"/>
      <c r="K80" s="7"/>
      <c r="L80" s="7"/>
      <c r="M80" s="31"/>
    </row>
    <row r="81" spans="3:13" ht="12.75">
      <c r="C81" s="35">
        <v>79</v>
      </c>
      <c r="D81" s="10"/>
      <c r="E81" s="3"/>
      <c r="F81" s="3"/>
      <c r="G81" s="3"/>
      <c r="H81" s="7"/>
      <c r="I81" s="7"/>
      <c r="J81" s="7"/>
      <c r="K81" s="7"/>
      <c r="L81" s="7"/>
      <c r="M81" s="31"/>
    </row>
    <row r="82" spans="3:13" ht="12.75">
      <c r="C82" s="35">
        <v>80</v>
      </c>
      <c r="D82" s="10"/>
      <c r="E82" s="3"/>
      <c r="F82" s="3"/>
      <c r="G82" s="3"/>
      <c r="H82" s="7"/>
      <c r="I82" s="7"/>
      <c r="J82" s="7"/>
      <c r="K82" s="7"/>
      <c r="L82" s="7"/>
      <c r="M82" s="31"/>
    </row>
    <row r="83" spans="3:13" ht="12.75">
      <c r="C83" s="35">
        <v>81</v>
      </c>
      <c r="D83" s="10"/>
      <c r="E83" s="3"/>
      <c r="F83" s="3"/>
      <c r="G83" s="3"/>
      <c r="H83" s="7"/>
      <c r="I83" s="7"/>
      <c r="J83" s="7"/>
      <c r="K83" s="7"/>
      <c r="L83" s="7"/>
      <c r="M83" s="31"/>
    </row>
    <row r="84" spans="3:13" ht="12.75">
      <c r="C84" s="35">
        <v>82</v>
      </c>
      <c r="D84" s="10"/>
      <c r="E84" s="3"/>
      <c r="F84" s="3"/>
      <c r="G84" s="3"/>
      <c r="H84" s="7"/>
      <c r="I84" s="7"/>
      <c r="J84" s="7"/>
      <c r="K84" s="7"/>
      <c r="L84" s="7"/>
      <c r="M84" s="31"/>
    </row>
    <row r="85" spans="3:13" ht="12.75">
      <c r="C85" s="35">
        <v>83</v>
      </c>
      <c r="D85" s="10"/>
      <c r="E85" s="3"/>
      <c r="F85" s="3"/>
      <c r="G85" s="3"/>
      <c r="H85" s="7"/>
      <c r="I85" s="7"/>
      <c r="J85" s="7"/>
      <c r="K85" s="7"/>
      <c r="L85" s="7"/>
      <c r="M85" s="31"/>
    </row>
    <row r="86" spans="3:13" ht="12.75">
      <c r="C86" s="35">
        <v>84</v>
      </c>
      <c r="D86" s="10"/>
      <c r="E86" s="3"/>
      <c r="F86" s="3"/>
      <c r="G86" s="3"/>
      <c r="H86" s="7"/>
      <c r="I86" s="7"/>
      <c r="J86" s="7"/>
      <c r="K86" s="7"/>
      <c r="L86" s="7"/>
      <c r="M86" s="31"/>
    </row>
    <row r="87" spans="3:13" ht="12.75">
      <c r="C87" s="35">
        <v>85</v>
      </c>
      <c r="D87" s="10"/>
      <c r="E87" s="3"/>
      <c r="F87" s="3"/>
      <c r="G87" s="3"/>
      <c r="H87" s="7"/>
      <c r="I87" s="7"/>
      <c r="J87" s="7"/>
      <c r="K87" s="7"/>
      <c r="L87" s="7"/>
      <c r="M87" s="31"/>
    </row>
    <row r="88" spans="3:13" ht="12.75">
      <c r="C88" s="35">
        <v>86</v>
      </c>
      <c r="D88" s="10"/>
      <c r="E88" s="3"/>
      <c r="F88" s="3"/>
      <c r="G88" s="3"/>
      <c r="H88" s="7"/>
      <c r="I88" s="7"/>
      <c r="J88" s="7"/>
      <c r="K88" s="7"/>
      <c r="L88" s="7"/>
      <c r="M88" s="31"/>
    </row>
    <row r="89" spans="3:13" ht="12.75">
      <c r="C89" s="35">
        <v>87</v>
      </c>
      <c r="D89" s="10"/>
      <c r="E89" s="3"/>
      <c r="F89" s="3"/>
      <c r="G89" s="3"/>
      <c r="H89" s="7"/>
      <c r="I89" s="7"/>
      <c r="J89" s="7"/>
      <c r="K89" s="7"/>
      <c r="L89" s="7"/>
      <c r="M89" s="31"/>
    </row>
    <row r="90" spans="3:13" ht="12.75">
      <c r="C90" s="35">
        <v>88</v>
      </c>
      <c r="D90" s="10"/>
      <c r="E90" s="3"/>
      <c r="F90" s="3"/>
      <c r="G90" s="3"/>
      <c r="H90" s="7"/>
      <c r="I90" s="7"/>
      <c r="J90" s="7"/>
      <c r="K90" s="7"/>
      <c r="L90" s="7"/>
      <c r="M90" s="31"/>
    </row>
    <row r="91" spans="3:13" ht="12.75">
      <c r="C91" s="35">
        <v>89</v>
      </c>
      <c r="D91" s="10"/>
      <c r="E91" s="3"/>
      <c r="F91" s="3"/>
      <c r="G91" s="3"/>
      <c r="H91" s="7"/>
      <c r="I91" s="7"/>
      <c r="J91" s="7"/>
      <c r="K91" s="7"/>
      <c r="L91" s="7"/>
      <c r="M91" s="31"/>
    </row>
    <row r="92" spans="3:13" ht="12.75">
      <c r="C92" s="35">
        <v>90</v>
      </c>
      <c r="D92" s="10"/>
      <c r="E92" s="3"/>
      <c r="F92" s="3"/>
      <c r="G92" s="3"/>
      <c r="H92" s="7"/>
      <c r="I92" s="7"/>
      <c r="J92" s="7"/>
      <c r="K92" s="7"/>
      <c r="L92" s="7"/>
      <c r="M92" s="31"/>
    </row>
    <row r="93" spans="3:13" ht="12.75">
      <c r="C93" s="35">
        <v>91</v>
      </c>
      <c r="D93" s="10"/>
      <c r="E93" s="3"/>
      <c r="F93" s="3"/>
      <c r="G93" s="3"/>
      <c r="H93" s="7"/>
      <c r="I93" s="7"/>
      <c r="J93" s="7"/>
      <c r="K93" s="7"/>
      <c r="L93" s="7"/>
      <c r="M93" s="31"/>
    </row>
    <row r="94" spans="3:13" ht="12.75">
      <c r="C94" s="35">
        <v>92</v>
      </c>
      <c r="D94" s="10"/>
      <c r="E94" s="3"/>
      <c r="F94" s="3"/>
      <c r="G94" s="3"/>
      <c r="H94" s="7"/>
      <c r="I94" s="7"/>
      <c r="J94" s="7"/>
      <c r="K94" s="7"/>
      <c r="L94" s="7"/>
      <c r="M94" s="31"/>
    </row>
    <row r="95" spans="3:13" ht="12.75">
      <c r="C95" s="35">
        <v>93</v>
      </c>
      <c r="D95" s="10"/>
      <c r="E95" s="3"/>
      <c r="F95" s="3"/>
      <c r="G95" s="3"/>
      <c r="H95" s="7"/>
      <c r="I95" s="7"/>
      <c r="J95" s="7"/>
      <c r="K95" s="7"/>
      <c r="L95" s="7"/>
      <c r="M95" s="31"/>
    </row>
    <row r="96" spans="3:13" ht="12.75">
      <c r="C96" s="35">
        <v>94</v>
      </c>
      <c r="D96" s="10"/>
      <c r="E96" s="3"/>
      <c r="F96" s="3"/>
      <c r="G96" s="3"/>
      <c r="H96" s="7"/>
      <c r="I96" s="7"/>
      <c r="J96" s="7"/>
      <c r="K96" s="7"/>
      <c r="L96" s="7"/>
      <c r="M96" s="31"/>
    </row>
    <row r="97" spans="3:13" ht="12.75">
      <c r="C97" s="35">
        <v>95</v>
      </c>
      <c r="D97" s="10"/>
      <c r="E97" s="3"/>
      <c r="F97" s="3"/>
      <c r="G97" s="3"/>
      <c r="H97" s="7"/>
      <c r="I97" s="7"/>
      <c r="J97" s="7"/>
      <c r="K97" s="7"/>
      <c r="L97" s="7"/>
      <c r="M97" s="31"/>
    </row>
    <row r="98" spans="3:13" ht="12.75">
      <c r="C98" s="35">
        <v>96</v>
      </c>
      <c r="D98" s="10"/>
      <c r="E98" s="3"/>
      <c r="F98" s="3"/>
      <c r="G98" s="3"/>
      <c r="H98" s="7"/>
      <c r="I98" s="7"/>
      <c r="J98" s="7"/>
      <c r="K98" s="7"/>
      <c r="L98" s="7"/>
      <c r="M98" s="31"/>
    </row>
    <row r="99" spans="3:13" ht="12.75">
      <c r="C99" s="35">
        <v>97</v>
      </c>
      <c r="D99" s="10"/>
      <c r="E99" s="3"/>
      <c r="F99" s="3"/>
      <c r="G99" s="3"/>
      <c r="H99" s="3"/>
      <c r="I99" s="3"/>
      <c r="J99" s="3"/>
      <c r="K99" s="3"/>
      <c r="L99" s="7"/>
      <c r="M99" s="31"/>
    </row>
    <row r="100" spans="3:13" ht="12.75">
      <c r="C100" s="35">
        <v>98</v>
      </c>
      <c r="D100" s="10"/>
      <c r="E100" s="3"/>
      <c r="F100" s="3"/>
      <c r="G100" s="3"/>
      <c r="H100" s="3"/>
      <c r="I100" s="3"/>
      <c r="J100" s="3"/>
      <c r="K100" s="3"/>
      <c r="L100" s="7"/>
      <c r="M100" s="31"/>
    </row>
    <row r="101" spans="3:13" ht="12.75">
      <c r="C101" s="35">
        <v>99</v>
      </c>
      <c r="D101" s="10"/>
      <c r="E101" s="3"/>
      <c r="F101" s="3"/>
      <c r="G101" s="3"/>
      <c r="H101" s="3"/>
      <c r="I101" s="3"/>
      <c r="J101" s="3"/>
      <c r="K101" s="3"/>
      <c r="L101" s="7"/>
      <c r="M101" s="31"/>
    </row>
    <row r="102" spans="3:13" ht="12.75">
      <c r="C102" s="35">
        <v>100</v>
      </c>
      <c r="D102" s="10"/>
      <c r="E102" s="3"/>
      <c r="F102" s="3"/>
      <c r="G102" s="3"/>
      <c r="H102" s="3"/>
      <c r="I102" s="3"/>
      <c r="J102" s="3"/>
      <c r="K102" s="3"/>
      <c r="L102" s="7"/>
      <c r="M102" s="31"/>
    </row>
    <row r="103" spans="3:13" ht="12.75">
      <c r="C103" s="35">
        <v>101</v>
      </c>
      <c r="D103" s="10"/>
      <c r="E103" s="3"/>
      <c r="F103" s="3"/>
      <c r="G103" s="3"/>
      <c r="H103" s="3"/>
      <c r="I103" s="3"/>
      <c r="J103" s="3"/>
      <c r="K103" s="3"/>
      <c r="L103" s="7"/>
      <c r="M103" s="31"/>
    </row>
    <row r="104" spans="3:13" ht="12.75">
      <c r="C104" s="35">
        <v>102</v>
      </c>
      <c r="D104" s="10"/>
      <c r="E104" s="3"/>
      <c r="F104" s="3"/>
      <c r="G104" s="3"/>
      <c r="H104" s="3"/>
      <c r="I104" s="3"/>
      <c r="J104" s="3"/>
      <c r="K104" s="3"/>
      <c r="L104" s="7"/>
      <c r="M104" s="31"/>
    </row>
    <row r="105" spans="3:13" ht="12.75">
      <c r="C105" s="35">
        <v>103</v>
      </c>
      <c r="D105" s="10"/>
      <c r="E105" s="3"/>
      <c r="F105" s="3"/>
      <c r="G105" s="3"/>
      <c r="H105" s="3"/>
      <c r="I105" s="3"/>
      <c r="J105" s="3"/>
      <c r="K105" s="3"/>
      <c r="L105" s="7"/>
      <c r="M105" s="31"/>
    </row>
    <row r="106" spans="3:13" ht="12.75">
      <c r="C106" s="35">
        <v>104</v>
      </c>
      <c r="D106" s="10"/>
      <c r="E106" s="3"/>
      <c r="F106" s="3"/>
      <c r="G106" s="3"/>
      <c r="H106" s="3"/>
      <c r="I106" s="3"/>
      <c r="J106" s="3"/>
      <c r="K106" s="3"/>
      <c r="L106" s="7"/>
      <c r="M106" s="31"/>
    </row>
    <row r="107" spans="3:13" ht="12.75">
      <c r="C107" s="35">
        <v>105</v>
      </c>
      <c r="D107" s="10"/>
      <c r="E107" s="3"/>
      <c r="F107" s="3"/>
      <c r="G107" s="3"/>
      <c r="H107" s="3"/>
      <c r="I107" s="3"/>
      <c r="J107" s="3"/>
      <c r="K107" s="3"/>
      <c r="L107" s="7"/>
      <c r="M107" s="31"/>
    </row>
    <row r="108" spans="3:13" ht="12.75">
      <c r="C108" s="35">
        <v>106</v>
      </c>
      <c r="D108" s="10"/>
      <c r="E108" s="3"/>
      <c r="F108" s="3"/>
      <c r="G108" s="3"/>
      <c r="H108" s="3"/>
      <c r="I108" s="3"/>
      <c r="J108" s="3"/>
      <c r="K108" s="3"/>
      <c r="L108" s="7"/>
      <c r="M108" s="31"/>
    </row>
    <row r="109" spans="3:13" ht="12.75">
      <c r="C109" s="35">
        <v>107</v>
      </c>
      <c r="D109" s="10"/>
      <c r="E109" s="3"/>
      <c r="F109" s="3"/>
      <c r="G109" s="3"/>
      <c r="H109" s="3"/>
      <c r="I109" s="3"/>
      <c r="J109" s="3"/>
      <c r="K109" s="3"/>
      <c r="L109" s="7"/>
      <c r="M109" s="31"/>
    </row>
    <row r="110" spans="3:13" ht="12.75">
      <c r="C110" s="35">
        <v>108</v>
      </c>
      <c r="D110" s="10"/>
      <c r="E110" s="3"/>
      <c r="F110" s="3"/>
      <c r="G110" s="3"/>
      <c r="H110" s="3"/>
      <c r="I110" s="3"/>
      <c r="J110" s="3"/>
      <c r="K110" s="3"/>
      <c r="L110" s="7"/>
      <c r="M110" s="31"/>
    </row>
    <row r="111" spans="3:13" ht="12.75">
      <c r="C111" s="35">
        <v>109</v>
      </c>
      <c r="D111" s="10"/>
      <c r="E111" s="3"/>
      <c r="F111" s="3"/>
      <c r="G111" s="3"/>
      <c r="H111" s="3"/>
      <c r="I111" s="3"/>
      <c r="J111" s="3"/>
      <c r="K111" s="3"/>
      <c r="L111" s="7"/>
      <c r="M111" s="31"/>
    </row>
    <row r="112" spans="3:13" ht="12.75">
      <c r="C112" s="35">
        <v>110</v>
      </c>
      <c r="D112" s="10"/>
      <c r="E112" s="3"/>
      <c r="F112" s="3"/>
      <c r="G112" s="3"/>
      <c r="H112" s="3"/>
      <c r="I112" s="3"/>
      <c r="J112" s="3"/>
      <c r="K112" s="3"/>
      <c r="L112" s="7"/>
      <c r="M112" s="31"/>
    </row>
    <row r="113" spans="3:13" ht="12.75">
      <c r="C113" s="35">
        <v>111</v>
      </c>
      <c r="D113" s="10"/>
      <c r="E113" s="3"/>
      <c r="F113" s="3"/>
      <c r="G113" s="3"/>
      <c r="H113" s="3"/>
      <c r="I113" s="3"/>
      <c r="J113" s="3"/>
      <c r="K113" s="3"/>
      <c r="L113" s="7"/>
      <c r="M113" s="31"/>
    </row>
    <row r="114" spans="3:13" ht="12.75">
      <c r="C114" s="35">
        <v>112</v>
      </c>
      <c r="D114" s="10"/>
      <c r="E114" s="3"/>
      <c r="F114" s="3"/>
      <c r="G114" s="3"/>
      <c r="H114" s="3"/>
      <c r="I114" s="3"/>
      <c r="J114" s="3"/>
      <c r="K114" s="3"/>
      <c r="L114" s="7"/>
      <c r="M114" s="31"/>
    </row>
    <row r="115" spans="3:13" ht="12.75">
      <c r="C115" s="35">
        <v>113</v>
      </c>
      <c r="D115" s="10"/>
      <c r="E115" s="3"/>
      <c r="F115" s="3"/>
      <c r="G115" s="3"/>
      <c r="H115" s="3"/>
      <c r="I115" s="3"/>
      <c r="J115" s="3"/>
      <c r="K115" s="3"/>
      <c r="L115" s="7"/>
      <c r="M115" s="31"/>
    </row>
    <row r="116" spans="3:13" ht="12.75">
      <c r="C116" s="35">
        <v>114</v>
      </c>
      <c r="D116" s="10"/>
      <c r="E116" s="3"/>
      <c r="F116" s="3"/>
      <c r="G116" s="3"/>
      <c r="H116" s="3"/>
      <c r="I116" s="3"/>
      <c r="J116" s="3"/>
      <c r="K116" s="3"/>
      <c r="L116" s="7"/>
      <c r="M116" s="31"/>
    </row>
    <row r="117" spans="3:13" ht="12.75">
      <c r="C117" s="35">
        <v>115</v>
      </c>
      <c r="D117" s="10"/>
      <c r="E117" s="3"/>
      <c r="F117" s="3"/>
      <c r="G117" s="3"/>
      <c r="H117" s="3"/>
      <c r="I117" s="3"/>
      <c r="J117" s="3"/>
      <c r="K117" s="3"/>
      <c r="L117" s="7"/>
      <c r="M117" s="31"/>
    </row>
    <row r="118" spans="3:13" ht="12.75">
      <c r="C118" s="35">
        <v>116</v>
      </c>
      <c r="D118" s="10"/>
      <c r="E118" s="3"/>
      <c r="F118" s="3"/>
      <c r="G118" s="3"/>
      <c r="H118" s="3"/>
      <c r="I118" s="3"/>
      <c r="J118" s="3"/>
      <c r="K118" s="3"/>
      <c r="L118" s="7"/>
      <c r="M118" s="31"/>
    </row>
    <row r="119" spans="3:13" ht="12.75">
      <c r="C119" s="35">
        <v>117</v>
      </c>
      <c r="D119" s="10"/>
      <c r="E119" s="3"/>
      <c r="F119" s="3"/>
      <c r="G119" s="3"/>
      <c r="H119" s="3"/>
      <c r="I119" s="3"/>
      <c r="J119" s="3"/>
      <c r="K119" s="3"/>
      <c r="L119" s="7"/>
      <c r="M119" s="31"/>
    </row>
    <row r="120" spans="3:13" ht="12.75">
      <c r="C120" s="35">
        <v>118</v>
      </c>
      <c r="D120" s="10"/>
      <c r="E120" s="3"/>
      <c r="F120" s="3"/>
      <c r="G120" s="3"/>
      <c r="H120" s="3"/>
      <c r="I120" s="3"/>
      <c r="J120" s="3"/>
      <c r="K120" s="3"/>
      <c r="L120" s="7"/>
      <c r="M120" s="31"/>
    </row>
    <row r="121" spans="3:13" ht="12.75">
      <c r="C121" s="35">
        <v>119</v>
      </c>
      <c r="D121" s="10"/>
      <c r="E121" s="3"/>
      <c r="F121" s="3"/>
      <c r="G121" s="3"/>
      <c r="H121" s="3"/>
      <c r="I121" s="3"/>
      <c r="J121" s="3"/>
      <c r="K121" s="3"/>
      <c r="L121" s="7"/>
      <c r="M121" s="31"/>
    </row>
    <row r="122" spans="3:13" ht="12.75">
      <c r="C122" s="35">
        <v>120</v>
      </c>
      <c r="D122" s="10"/>
      <c r="E122" s="3"/>
      <c r="F122" s="3"/>
      <c r="G122" s="3"/>
      <c r="H122" s="3"/>
      <c r="I122" s="3"/>
      <c r="J122" s="3"/>
      <c r="K122" s="3"/>
      <c r="L122" s="7"/>
      <c r="M122" s="31"/>
    </row>
    <row r="123" spans="3:13" ht="12.75">
      <c r="C123" s="35">
        <v>121</v>
      </c>
      <c r="D123" s="10"/>
      <c r="E123" s="3"/>
      <c r="F123" s="3"/>
      <c r="G123" s="3"/>
      <c r="H123" s="3"/>
      <c r="I123" s="3"/>
      <c r="J123" s="3"/>
      <c r="K123" s="3"/>
      <c r="L123" s="7"/>
      <c r="M123" s="31"/>
    </row>
    <row r="124" spans="3:13" ht="12.75">
      <c r="C124" s="35">
        <v>122</v>
      </c>
      <c r="D124" s="10"/>
      <c r="E124" s="3"/>
      <c r="F124" s="3"/>
      <c r="G124" s="3"/>
      <c r="H124" s="3"/>
      <c r="I124" s="3"/>
      <c r="J124" s="3"/>
      <c r="K124" s="3"/>
      <c r="L124" s="7"/>
      <c r="M124" s="31"/>
    </row>
    <row r="125" spans="3:13" ht="12.75">
      <c r="C125" s="35">
        <v>123</v>
      </c>
      <c r="D125" s="10"/>
      <c r="E125" s="3"/>
      <c r="F125" s="3"/>
      <c r="G125" s="3"/>
      <c r="H125" s="3"/>
      <c r="I125" s="3"/>
      <c r="J125" s="3"/>
      <c r="K125" s="3"/>
      <c r="L125" s="7"/>
      <c r="M125" s="31"/>
    </row>
    <row r="126" spans="3:13" ht="12.75">
      <c r="C126" s="35">
        <v>124</v>
      </c>
      <c r="D126" s="10"/>
      <c r="E126" s="3"/>
      <c r="F126" s="3"/>
      <c r="G126" s="3"/>
      <c r="H126" s="3"/>
      <c r="I126" s="3"/>
      <c r="J126" s="3"/>
      <c r="K126" s="3"/>
      <c r="L126" s="7"/>
      <c r="M126" s="31"/>
    </row>
    <row r="127" spans="3:13" ht="12.75">
      <c r="C127" s="35">
        <v>125</v>
      </c>
      <c r="D127" s="10"/>
      <c r="E127" s="3"/>
      <c r="F127" s="3"/>
      <c r="G127" s="3"/>
      <c r="H127" s="3"/>
      <c r="I127" s="3"/>
      <c r="J127" s="3"/>
      <c r="K127" s="3"/>
      <c r="L127" s="7"/>
      <c r="M127" s="31"/>
    </row>
    <row r="128" spans="3:13" ht="12.75">
      <c r="C128" s="35">
        <v>126</v>
      </c>
      <c r="D128" s="10"/>
      <c r="E128" s="3"/>
      <c r="F128" s="3"/>
      <c r="G128" s="3"/>
      <c r="H128" s="3"/>
      <c r="I128" s="3"/>
      <c r="J128" s="3"/>
      <c r="K128" s="3"/>
      <c r="L128" s="7"/>
      <c r="M128" s="31"/>
    </row>
    <row r="129" spans="3:13" ht="12.75">
      <c r="C129" s="35">
        <v>127</v>
      </c>
      <c r="D129" s="10"/>
      <c r="E129" s="3"/>
      <c r="F129" s="3"/>
      <c r="G129" s="3"/>
      <c r="H129" s="3"/>
      <c r="I129" s="3"/>
      <c r="J129" s="3"/>
      <c r="K129" s="3"/>
      <c r="L129" s="7"/>
      <c r="M129" s="31"/>
    </row>
    <row r="130" spans="3:13" ht="13.5" thickBot="1">
      <c r="C130" s="36">
        <v>128</v>
      </c>
      <c r="D130" s="32"/>
      <c r="E130" s="5"/>
      <c r="F130" s="5"/>
      <c r="G130" s="5"/>
      <c r="H130" s="5"/>
      <c r="I130" s="5"/>
      <c r="J130" s="5"/>
      <c r="K130" s="5"/>
      <c r="L130" s="11"/>
      <c r="M130" s="33"/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Suchan Kurt</dc:creator>
  <cp:keywords/>
  <dc:description/>
  <cp:lastModifiedBy>Sentürk</cp:lastModifiedBy>
  <cp:lastPrinted>2002-08-19T17:36:30Z</cp:lastPrinted>
  <dcterms:created xsi:type="dcterms:W3CDTF">2001-09-23T08:53:31Z</dcterms:created>
  <dcterms:modified xsi:type="dcterms:W3CDTF">2008-09-23T13:06:29Z</dcterms:modified>
  <cp:category/>
  <cp:version/>
  <cp:contentType/>
  <cp:contentStatus/>
</cp:coreProperties>
</file>